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ordenadoria de Projetos Institucionais\Análise e parecer de projetos\Modelos de Documentos\"/>
    </mc:Choice>
  </mc:AlternateContent>
  <bookViews>
    <workbookView xWindow="0" yWindow="0" windowWidth="28800" windowHeight="13485" tabRatio="393" activeTab="2"/>
  </bookViews>
  <sheets>
    <sheet name="Custo" sheetId="18" r:id="rId1"/>
    <sheet name="Dados UFSC" sheetId="16" r:id="rId2"/>
    <sheet name="Memória de Cálculo" sheetId="19" r:id="rId3"/>
  </sheets>
  <calcPr calcId="162913"/>
</workbook>
</file>

<file path=xl/calcChain.xml><?xml version="1.0" encoding="utf-8"?>
<calcChain xmlns="http://schemas.openxmlformats.org/spreadsheetml/2006/main">
  <c r="C6" i="16" l="1"/>
  <c r="B92" i="18" l="1"/>
  <c r="C89" i="19" l="1"/>
  <c r="C54" i="19"/>
  <c r="C40" i="19"/>
  <c r="D79" i="19" l="1"/>
  <c r="C76" i="19"/>
  <c r="B75" i="19" l="1"/>
  <c r="D68" i="19"/>
  <c r="C65" i="19"/>
  <c r="B64" i="19"/>
  <c r="C52" i="19" l="1"/>
  <c r="K33" i="19"/>
  <c r="K34" i="19"/>
  <c r="K32" i="19"/>
  <c r="C41" i="19"/>
  <c r="K11" i="19"/>
  <c r="K12" i="19"/>
  <c r="K13" i="19"/>
  <c r="K14" i="19"/>
  <c r="K10" i="19"/>
  <c r="K20" i="19"/>
  <c r="C53" i="19" l="1"/>
  <c r="D44" i="19"/>
  <c r="C39" i="19"/>
  <c r="D57" i="19"/>
  <c r="D61" i="19"/>
  <c r="D48" i="19"/>
  <c r="K15" i="19"/>
  <c r="D92" i="19" s="1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K37" i="18"/>
  <c r="J37" i="18"/>
  <c r="K38" i="18"/>
  <c r="J38" i="18"/>
  <c r="I22" i="18" l="1"/>
  <c r="J101" i="19" s="1"/>
  <c r="I23" i="18"/>
  <c r="J102" i="19" s="1"/>
  <c r="C13" i="16"/>
  <c r="C27" i="16" s="1"/>
  <c r="J107" i="19" l="1"/>
  <c r="I24" i="18"/>
  <c r="C28" i="16"/>
  <c r="J105" i="18"/>
  <c r="I25" i="18" s="1"/>
  <c r="K105" i="18"/>
  <c r="I26" i="18" s="1"/>
  <c r="D72" i="19" l="1"/>
  <c r="J103" i="19"/>
  <c r="D83" i="19"/>
  <c r="J104" i="19"/>
  <c r="D96" i="19"/>
  <c r="J105" i="19"/>
  <c r="I27" i="18"/>
  <c r="J106" i="19" l="1"/>
  <c r="I30" i="18"/>
  <c r="J108" i="19" s="1"/>
  <c r="I32" i="18" l="1"/>
  <c r="I31" i="18" s="1"/>
</calcChain>
</file>

<file path=xl/comments1.xml><?xml version="1.0" encoding="utf-8"?>
<comments xmlns="http://schemas.openxmlformats.org/spreadsheetml/2006/main">
  <authors>
    <author>ARMANDO ALBERTAZZI GONCALVES JUNIOR</author>
  </authors>
  <commentList>
    <comment ref="H36" authorId="0" shapeId="0">
      <text>
        <r>
          <rPr>
            <sz val="9"/>
            <color indexed="81"/>
            <rFont val="Tahoma"/>
            <family val="2"/>
          </rPr>
          <t>Estimativa do número total de horas que o equipamento será usado no projeto.</t>
        </r>
      </text>
    </comment>
  </commentList>
</comments>
</file>

<file path=xl/sharedStrings.xml><?xml version="1.0" encoding="utf-8"?>
<sst xmlns="http://schemas.openxmlformats.org/spreadsheetml/2006/main" count="125" uniqueCount="115">
  <si>
    <t>Total</t>
  </si>
  <si>
    <t>Retornar</t>
  </si>
  <si>
    <t xml:space="preserve">Depreciação predial </t>
  </si>
  <si>
    <t xml:space="preserve">Conservação predial </t>
  </si>
  <si>
    <t>Duração do projeto expressa em número de meses (DPM)</t>
  </si>
  <si>
    <t xml:space="preserve"> Valor Gasto</t>
  </si>
  <si>
    <t>Dados gerais do Projeto</t>
  </si>
  <si>
    <t>Valor total do projeto (sem custos indiretos)</t>
  </si>
  <si>
    <t>Itens de custos indiretos</t>
  </si>
  <si>
    <t>Serviços e suprimentos</t>
  </si>
  <si>
    <t xml:space="preserve">Manutenção de laboratórios e equipamentos de pesquisa </t>
  </si>
  <si>
    <t>Valores consolidados</t>
  </si>
  <si>
    <t>Total dos custos indiretos</t>
  </si>
  <si>
    <t>Valor total do projeto (com custos indiretos)</t>
  </si>
  <si>
    <t>Relação de equipamentos que serão usados no projeto</t>
  </si>
  <si>
    <t>Nº</t>
  </si>
  <si>
    <t>Identificação</t>
  </si>
  <si>
    <t>horas</t>
  </si>
  <si>
    <t>Detalhamento dos custos anuais de toda a UFSC com serviços e suprimentos</t>
  </si>
  <si>
    <t>Outros dados da UFSC</t>
  </si>
  <si>
    <t>Percentual das áreas de serviço em relação à área útil</t>
  </si>
  <si>
    <t>Vida útil média estimada para edificações da UFSC (anos)</t>
  </si>
  <si>
    <t>Área total construída  de todos os campi (m²)</t>
  </si>
  <si>
    <t>Percentual anual aplicado a manutenção predial</t>
  </si>
  <si>
    <t>Percentual do valor do equipamento gasto anualmente com manutenção</t>
  </si>
  <si>
    <t>Vida útil média estimada para equipamentos de pesquisa (horas)</t>
  </si>
  <si>
    <t>Custo anual médio do metro quadrado privativo de laboratório alocado ao projeto</t>
  </si>
  <si>
    <t>Custo mensal médio do metro quadrado privativo de laboratório alocado ao projeto</t>
  </si>
  <si>
    <t>Custos unitários com serviços e suprimentos</t>
  </si>
  <si>
    <t>Valor do equipamento (R$)</t>
  </si>
  <si>
    <t>Depreciação</t>
  </si>
  <si>
    <t>Manutenção</t>
  </si>
  <si>
    <t xml:space="preserve">Depreciação de laboratórios e equipamentos de pesquisa </t>
  </si>
  <si>
    <t>Valor do metro quadrado construído dentro da UFSC (dados DPAE/UFSC)</t>
  </si>
  <si>
    <t>Dados relativos a equipamentos de pesquisa usados nos projetos</t>
  </si>
  <si>
    <t>Variáveis baseadas nos números oficiais da UFSC</t>
  </si>
  <si>
    <t>GTAS</t>
  </si>
  <si>
    <t>Gasto total anual da UFSC com todos os serviços e suprimentos</t>
  </si>
  <si>
    <t>Gastos anuais de toda a UFSC com serviços e suprimentos em 2018</t>
  </si>
  <si>
    <t>Energia Elétrica</t>
  </si>
  <si>
    <t>Água e esgoto</t>
  </si>
  <si>
    <t>Vigilância</t>
  </si>
  <si>
    <t>Limpeza</t>
  </si>
  <si>
    <t>Telefone e internet</t>
  </si>
  <si>
    <t>ATC</t>
  </si>
  <si>
    <t>PAS</t>
  </si>
  <si>
    <t>CMQ</t>
  </si>
  <si>
    <t>VUE</t>
  </si>
  <si>
    <t>PAMP</t>
  </si>
  <si>
    <t>Vida útil média estimada para edificações prediais da UFSC (anos)</t>
  </si>
  <si>
    <t>VUP</t>
  </si>
  <si>
    <t>PAME</t>
  </si>
  <si>
    <t>VTP</t>
  </si>
  <si>
    <t>Variáveis relativas ao projeto de pesquisa</t>
  </si>
  <si>
    <t xml:space="preserve">O custo da depreciação predial (TDP) é calculado considerando os seguintes elementos: </t>
  </si>
  <si>
    <t>A</t>
  </si>
  <si>
    <t>D</t>
  </si>
  <si>
    <t>Art. 5º -  Custo indireto total da depreciação predial (TDP)</t>
  </si>
  <si>
    <t>Art. 6º - Custo indireto total da conservação predial</t>
  </si>
  <si>
    <t>O custo da conservação predial (TCP) é calculado considerando os seguintes elementos:</t>
  </si>
  <si>
    <t>Art. 7º - Depreciação de equipamentos usados na pesquisa</t>
  </si>
  <si>
    <t>II - A provisão de recursos necessários para repor o equipamento utilizado em um projeto é ainda proporcional ao número de horas (H) utilizadas no projeto. O custo de reposição de cada equipamento (CRE) é calculado por:</t>
  </si>
  <si>
    <t>Art 8º - Provisão de recursos para manutenção de equipamentos</t>
  </si>
  <si>
    <t>II - O custo de manutenção do equipamento (CME) é ainda  proporcional ao número de horas (H) efetivamente utilizadas. Assim, seu cálculo é feito por:</t>
  </si>
  <si>
    <t>A provisão total de recursos para manutenção de equipamentos (TME) é calculada por:</t>
  </si>
  <si>
    <t>Art 9º - Custos indiretos com suprimentos e serviços</t>
  </si>
  <si>
    <t>I - Soma de todos os gastos totais anuais com serviços e suprimentos (GTAS)</t>
  </si>
  <si>
    <t xml:space="preserve">II - Área total construída (ATC) de todos os campi da UFSC </t>
  </si>
  <si>
    <t>O custo mensal com os serviços e suprimentos (CMS) por metro quadrado privativo de laboratório avocado ao projeto é calculado por:</t>
  </si>
  <si>
    <t>A provisão total de recursos para reposição de equipamentos (TRE) é calculado por:</t>
  </si>
  <si>
    <t>Art 10º - Os custos indiretos totais do projeto resultaram das seguintes componentes:</t>
  </si>
  <si>
    <t>Custo indireto da depreciação predial</t>
  </si>
  <si>
    <t>TDP</t>
  </si>
  <si>
    <t>TCP</t>
  </si>
  <si>
    <t>Custo indireto de conservação predial</t>
  </si>
  <si>
    <t>TME</t>
  </si>
  <si>
    <t>TS</t>
  </si>
  <si>
    <t xml:space="preserve">TRE </t>
  </si>
  <si>
    <t>Custo de depreciação de equipamentos</t>
  </si>
  <si>
    <t>Provisão para manutenção de equipamentos</t>
  </si>
  <si>
    <t>Custo de suprimentos e serviços</t>
  </si>
  <si>
    <t>Sigla</t>
  </si>
  <si>
    <t>Item de custo indireto</t>
  </si>
  <si>
    <t>TOTAL</t>
  </si>
  <si>
    <t>Valor</t>
  </si>
  <si>
    <t>SUBTOTAL</t>
  </si>
  <si>
    <t>Teto (10% do valor do projeto)</t>
  </si>
  <si>
    <t>Pró-Reitor de Pesquisa</t>
  </si>
  <si>
    <t>Projeto:</t>
  </si>
  <si>
    <t>Coordenador do projeto:</t>
  </si>
  <si>
    <t>Área total alocada ao projeto (APL) em m²</t>
  </si>
  <si>
    <t>O custo mensal com depreciação predial por metro quadrado alocado ao projeto (CMD) é calculado por:</t>
  </si>
  <si>
    <t xml:space="preserve">O custo indireto total a ser atribuído ao projeto referente à depreciação predial (TDP) é calculado multiplicando CMD pela área alocada ao projeto (A) e a duração do projeto expressa em número de meses (D): </t>
  </si>
  <si>
    <t>O custo mensal com conservação predial por metro quadrado alocado ao projeto (CMC) é calculado por:</t>
  </si>
  <si>
    <t>O custo indireto total a ser atribuído ao projeto referente à conservação predial (TCP) é proporcional à área alocada ao projeto (A) e a duração do projeto expressa em número de meses (D), calculado por:</t>
  </si>
  <si>
    <t>Considera quanto a UFSC gasta por ano por cada metro quadrado construído com serviços e suprimentos, incluindo energia elétrica, água, vigilância, limpeza e comunicações (telefone e intemet) é calculado com base nos seguintes elementos:</t>
  </si>
  <si>
    <t>O custo total atribuído a serviços e suprimentos (TS) é ainda proporcional à área alocada ao projeto (A) e ao número de horas (H) estimadas para utilização do laboratório no projeto:</t>
  </si>
  <si>
    <t>Área privativa alocada ao projeto (A) em m²</t>
  </si>
  <si>
    <t>Título do Projeto</t>
  </si>
  <si>
    <t>Declaro que, no melhor do meu conhecimento, as informações aqui prestadas são verdadeiras.</t>
  </si>
  <si>
    <t>Declaro estar ciente e de acordo com as informações prestadas pelo(a) coordenador(a).</t>
  </si>
  <si>
    <t>Nome do chefe do departamento</t>
  </si>
  <si>
    <t>Nome do departamento</t>
  </si>
  <si>
    <t>Assinaturas</t>
  </si>
  <si>
    <t>Nome do Coordenador do Projeto</t>
  </si>
  <si>
    <t>Dados das construções na UFSC - referência 2019</t>
  </si>
  <si>
    <t>A anuência da Propesq à tabela de cálculo apresentada parte do princípio que são verdadeiros todos os fatos apresentados pelo coordenador e confirmados pela chefia do departamento. Havendo modificação em quaisquer fatos ou eles não sendo conforme afirmados inicialmente, o valor de ressarcimento não corresponderá à realidade..</t>
  </si>
  <si>
    <t>Prof. Jacques Mick</t>
  </si>
  <si>
    <t>Energia Elétrica (toda a UFSC em 2024)</t>
  </si>
  <si>
    <t>Água e esgoto (toda a UFSC - 2024)</t>
  </si>
  <si>
    <t>Limpeza (toda a UFSC - 2024)</t>
  </si>
  <si>
    <t>Vigilância (toda a UFSC - 2024)</t>
  </si>
  <si>
    <t>Telefone e internet (toda a UFSC - 2024)</t>
  </si>
  <si>
    <t>atualizada em 31/03/2025</t>
  </si>
  <si>
    <t>Valor do metro quadrado construído dentro da UFSC (dados DPAE/UFSC 2022, corrigido SINAPI)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</si>
</sst>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_-&quot;R$&quot;\ * #,##0.000_-;\-&quot;R$&quot;\ * #,##0.000_-;_-&quot;R$&quot;\ * &quot;-&quot;??_-;_-@_-"/>
    <numFmt numFmtId="165" formatCode="0.0"/>
    <numFmt numFmtId="166" formatCode="#,##0.0"/>
    <numFmt numFmtId="167" formatCode="0.000%"/>
  </numFmts>
  <fonts count="13" x14ac:knownFonts="1"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1FA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ont="1"/>
    <xf numFmtId="0" fontId="0" fillId="0" borderId="0" xfId="0" applyFont="1" applyFill="1" applyBorder="1" applyAlignment="1">
      <alignment horizontal="left" wrapText="1"/>
    </xf>
    <xf numFmtId="0" fontId="0" fillId="2" borderId="1" xfId="0" applyFill="1" applyBorder="1"/>
    <xf numFmtId="0" fontId="4" fillId="0" borderId="0" xfId="2" applyAlignment="1">
      <alignment horizontal="right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164" fontId="0" fillId="0" borderId="1" xfId="0" applyNumberFormat="1" applyBorder="1"/>
    <xf numFmtId="44" fontId="0" fillId="0" borderId="0" xfId="1" applyFont="1"/>
    <xf numFmtId="44" fontId="0" fillId="0" borderId="0" xfId="0" applyNumberFormat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4" borderId="2" xfId="0" applyFill="1" applyBorder="1"/>
    <xf numFmtId="0" fontId="0" fillId="4" borderId="5" xfId="0" applyFill="1" applyBorder="1"/>
    <xf numFmtId="0" fontId="0" fillId="4" borderId="3" xfId="0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/>
    <xf numFmtId="10" fontId="0" fillId="0" borderId="1" xfId="0" applyNumberFormat="1" applyBorder="1"/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6" fillId="0" borderId="0" xfId="0" applyFont="1" applyAlignment="1">
      <alignment horizontal="right"/>
    </xf>
    <xf numFmtId="0" fontId="0" fillId="0" borderId="0" xfId="0" applyBorder="1"/>
    <xf numFmtId="165" fontId="0" fillId="0" borderId="1" xfId="0" applyNumberFormat="1" applyBorder="1" applyProtection="1">
      <protection locked="0"/>
    </xf>
    <xf numFmtId="44" fontId="0" fillId="7" borderId="1" xfId="1" applyFont="1" applyFill="1" applyBorder="1" applyProtection="1"/>
    <xf numFmtId="44" fontId="0" fillId="7" borderId="1" xfId="0" applyNumberFormat="1" applyFill="1" applyBorder="1" applyProtection="1"/>
    <xf numFmtId="44" fontId="3" fillId="7" borderId="1" xfId="1" applyFont="1" applyFill="1" applyBorder="1" applyProtection="1"/>
    <xf numFmtId="167" fontId="0" fillId="7" borderId="1" xfId="3" applyNumberFormat="1" applyFont="1" applyFill="1" applyBorder="1" applyProtection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 applyProtection="1">
      <alignment horizontal="right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2" borderId="1" xfId="0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44" fontId="0" fillId="0" borderId="1" xfId="1" applyFont="1" applyBorder="1" applyProtection="1"/>
    <xf numFmtId="0" fontId="8" fillId="0" borderId="0" xfId="0" applyFont="1" applyAlignment="1" applyProtection="1">
      <alignment horizontal="center"/>
    </xf>
    <xf numFmtId="44" fontId="3" fillId="0" borderId="1" xfId="0" applyNumberFormat="1" applyFont="1" applyBorder="1" applyProtection="1"/>
    <xf numFmtId="3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10" fontId="0" fillId="0" borderId="0" xfId="0" applyNumberFormat="1" applyBorder="1" applyProtection="1"/>
    <xf numFmtId="0" fontId="0" fillId="0" borderId="0" xfId="0" applyFill="1" applyBorder="1" applyAlignment="1" applyProtection="1"/>
    <xf numFmtId="0" fontId="8" fillId="0" borderId="0" xfId="0" applyFont="1" applyFill="1" applyBorder="1" applyAlignment="1" applyProtection="1">
      <alignment horizontal="center"/>
    </xf>
    <xf numFmtId="3" fontId="0" fillId="0" borderId="9" xfId="0" applyNumberFormat="1" applyBorder="1" applyProtection="1"/>
    <xf numFmtId="9" fontId="0" fillId="0" borderId="0" xfId="0" applyNumberFormat="1" applyProtection="1"/>
    <xf numFmtId="4" fontId="0" fillId="0" borderId="1" xfId="0" applyNumberFormat="1" applyBorder="1" applyProtection="1"/>
    <xf numFmtId="166" fontId="0" fillId="0" borderId="1" xfId="0" applyNumberFormat="1" applyBorder="1" applyProtection="1"/>
    <xf numFmtId="0" fontId="7" fillId="0" borderId="0" xfId="0" applyFont="1" applyFill="1" applyBorder="1" applyAlignment="1" applyProtection="1">
      <alignment horizontal="left"/>
    </xf>
    <xf numFmtId="0" fontId="0" fillId="0" borderId="0" xfId="0" applyAlignment="1" applyProtection="1">
      <alignment wrapText="1"/>
    </xf>
    <xf numFmtId="2" fontId="0" fillId="0" borderId="0" xfId="0" applyNumberFormat="1" applyProtection="1"/>
    <xf numFmtId="0" fontId="10" fillId="0" borderId="0" xfId="0" applyFont="1" applyProtection="1"/>
    <xf numFmtId="0" fontId="11" fillId="4" borderId="1" xfId="0" applyFont="1" applyFill="1" applyBorder="1" applyProtection="1"/>
    <xf numFmtId="0" fontId="11" fillId="0" borderId="1" xfId="0" applyFont="1" applyBorder="1" applyAlignment="1" applyProtection="1">
      <alignment horizontal="center"/>
    </xf>
    <xf numFmtId="0" fontId="11" fillId="0" borderId="1" xfId="0" quotePrefix="1" applyFont="1" applyBorder="1" applyAlignment="1" applyProtection="1">
      <alignment horizontal="center"/>
    </xf>
    <xf numFmtId="0" fontId="0" fillId="0" borderId="1" xfId="0" applyBorder="1" applyAlignment="1" applyProtection="1"/>
    <xf numFmtId="0" fontId="0" fillId="2" borderId="1" xfId="0" applyFill="1" applyBorder="1" applyAlignment="1" applyProtection="1"/>
    <xf numFmtId="0" fontId="0" fillId="0" borderId="1" xfId="0" applyBorder="1" applyAlignment="1" applyProtection="1">
      <alignment horizontal="left"/>
    </xf>
    <xf numFmtId="0" fontId="12" fillId="0" borderId="0" xfId="0" applyFont="1" applyAlignment="1">
      <alignment horizontal="right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left" wrapText="1"/>
    </xf>
    <xf numFmtId="0" fontId="0" fillId="0" borderId="1" xfId="0" applyBorder="1" applyAlignment="1" applyProtection="1">
      <alignment horizontal="left"/>
      <protection locked="0"/>
    </xf>
    <xf numFmtId="0" fontId="0" fillId="5" borderId="2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5" borderId="10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44" fontId="0" fillId="3" borderId="1" xfId="1" applyFont="1" applyFill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0" borderId="1" xfId="0" applyBorder="1" applyAlignment="1" applyProtection="1"/>
    <xf numFmtId="0" fontId="0" fillId="2" borderId="1" xfId="0" applyFill="1" applyBorder="1" applyAlignment="1" applyProtection="1"/>
    <xf numFmtId="0" fontId="3" fillId="0" borderId="1" xfId="0" applyFont="1" applyFill="1" applyBorder="1" applyAlignment="1" applyProtection="1"/>
    <xf numFmtId="0" fontId="0" fillId="0" borderId="1" xfId="0" applyBorder="1" applyAlignment="1" applyProtection="1">
      <alignment horizontal="left"/>
    </xf>
    <xf numFmtId="0" fontId="9" fillId="0" borderId="0" xfId="0" applyFont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6" borderId="2" xfId="0" applyFill="1" applyBorder="1" applyAlignment="1" applyProtection="1">
      <alignment horizontal="left"/>
    </xf>
    <xf numFmtId="0" fontId="0" fillId="6" borderId="5" xfId="0" applyFill="1" applyBorder="1" applyAlignment="1" applyProtection="1">
      <alignment horizontal="left"/>
    </xf>
    <xf numFmtId="0" fontId="0" fillId="6" borderId="3" xfId="0" applyFill="1" applyBorder="1" applyAlignment="1" applyProtection="1">
      <alignment horizontal="left"/>
    </xf>
    <xf numFmtId="0" fontId="3" fillId="6" borderId="1" xfId="0" applyFont="1" applyFill="1" applyBorder="1" applyAlignment="1" applyProtection="1">
      <alignment horizontal="left"/>
    </xf>
    <xf numFmtId="44" fontId="3" fillId="3" borderId="1" xfId="1" applyFont="1" applyFill="1" applyBorder="1" applyAlignment="1" applyProtection="1">
      <alignment horizontal="right"/>
    </xf>
    <xf numFmtId="0" fontId="0" fillId="0" borderId="1" xfId="0" applyFill="1" applyBorder="1"/>
    <xf numFmtId="44" fontId="0" fillId="0" borderId="1" xfId="1" applyFont="1" applyFill="1" applyBorder="1"/>
    <xf numFmtId="0" fontId="3" fillId="0" borderId="1" xfId="0" applyFont="1" applyFill="1" applyBorder="1"/>
    <xf numFmtId="44" fontId="3" fillId="0" borderId="1" xfId="0" applyNumberFormat="1" applyFont="1" applyFill="1" applyBorder="1"/>
  </cellXfs>
  <cellStyles count="4">
    <cellStyle name="Hiperlink" xfId="2" builtinId="8"/>
    <cellStyle name="Moeda" xfId="1" builtinId="4"/>
    <cellStyle name="Normal" xfId="0" builtinId="0"/>
    <cellStyle name="Porcentagem" xfId="3" builtinId="5"/>
  </cellStyles>
  <dxfs count="0"/>
  <tableStyles count="0" defaultTableStyle="TableStyleMedium2" defaultPivotStyle="PivotStyleLight16"/>
  <colors>
    <mruColors>
      <color rgb="FF0000CC"/>
      <color rgb="FFE1FAFF"/>
      <color rgb="FFD1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2</xdr:col>
      <xdr:colOff>352425</xdr:colOff>
      <xdr:row>5</xdr:row>
      <xdr:rowOff>19050</xdr:rowOff>
    </xdr:to>
    <xdr:pic>
      <xdr:nvPicPr>
        <xdr:cNvPr id="2" name="Imagem 1" descr="Menu de Navegaçã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0477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485774</xdr:colOff>
      <xdr:row>0</xdr:row>
      <xdr:rowOff>142874</xdr:rowOff>
    </xdr:from>
    <xdr:to>
      <xdr:col>12</xdr:col>
      <xdr:colOff>342900</xdr:colOff>
      <xdr:row>5</xdr:row>
      <xdr:rowOff>66675</xdr:rowOff>
    </xdr:to>
    <xdr:sp macro="" textlink="">
      <xdr:nvSpPr>
        <xdr:cNvPr id="3" name="CaixaDeTexto 2"/>
        <xdr:cNvSpPr txBox="1"/>
      </xdr:nvSpPr>
      <xdr:spPr>
        <a:xfrm>
          <a:off x="1343024" y="142874"/>
          <a:ext cx="5810251" cy="8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/>
            <a:t>Cálculo de Custos Indiretos de Projeto de Pesquisa para projetos com </a:t>
          </a:r>
          <a:r>
            <a:rPr lang="pt-BR" sz="1600" b="1"/>
            <a:t>ANP</a:t>
          </a:r>
          <a:r>
            <a:rPr lang="pt-BR" sz="1600"/>
            <a:t/>
          </a:r>
          <a:br>
            <a:rPr lang="pt-BR" sz="1600"/>
          </a:br>
          <a:r>
            <a:rPr lang="pt-BR" sz="1200" b="0" i="1"/>
            <a:t>Regulamento Técnico ANP 03/2015</a:t>
          </a:r>
          <a:br>
            <a:rPr lang="pt-BR" sz="1200" b="0" i="1"/>
          </a:br>
          <a:r>
            <a:rPr lang="pt-BR" sz="1200" b="0" i="1"/>
            <a:t>Portaria</a:t>
          </a:r>
          <a:r>
            <a:rPr lang="pt-BR" sz="1200" b="0" i="1" baseline="0"/>
            <a:t> Normativa 02/2018/CPESQ</a:t>
          </a:r>
          <a:endParaRPr lang="pt-BR" sz="1200" b="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</xdr:col>
      <xdr:colOff>914400</xdr:colOff>
      <xdr:row>4</xdr:row>
      <xdr:rowOff>95250</xdr:rowOff>
    </xdr:to>
    <xdr:pic>
      <xdr:nvPicPr>
        <xdr:cNvPr id="2" name="Imagem 1" descr="Menu de Navegaçã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019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1019174</xdr:colOff>
      <xdr:row>0</xdr:row>
      <xdr:rowOff>123824</xdr:rowOff>
    </xdr:from>
    <xdr:to>
      <xdr:col>2</xdr:col>
      <xdr:colOff>1076325</xdr:colOff>
      <xdr:row>4</xdr:row>
      <xdr:rowOff>19049</xdr:rowOff>
    </xdr:to>
    <xdr:sp macro="" textlink="">
      <xdr:nvSpPr>
        <xdr:cNvPr id="3" name="CaixaDeTexto 2"/>
        <xdr:cNvSpPr txBox="1"/>
      </xdr:nvSpPr>
      <xdr:spPr>
        <a:xfrm>
          <a:off x="1209674" y="123824"/>
          <a:ext cx="5229226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Dados da UFSC e parâmetros  - </a:t>
          </a:r>
          <a:r>
            <a:rPr lang="pt-BR" sz="1800" b="1"/>
            <a:t>Cálculo de Rateio</a:t>
          </a:r>
          <a:r>
            <a:rPr lang="pt-BR" sz="1800" b="1" baseline="0"/>
            <a:t> do Custo</a:t>
          </a:r>
          <a:r>
            <a:rPr lang="pt-BR" sz="1800"/>
            <a:t/>
          </a:r>
          <a:br>
            <a:rPr lang="pt-BR" sz="1800"/>
          </a:br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Portaria</a:t>
          </a:r>
          <a:r>
            <a:rPr lang="pt-B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Normativa GR XX, de XXXXX de XX</a:t>
          </a:r>
          <a:endParaRPr lang="pt-BR" sz="14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2</xdr:col>
      <xdr:colOff>200025</xdr:colOff>
      <xdr:row>5</xdr:row>
      <xdr:rowOff>19050</xdr:rowOff>
    </xdr:to>
    <xdr:pic>
      <xdr:nvPicPr>
        <xdr:cNvPr id="2" name="Imagem 1" descr="Menu de Navegaçã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0477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485774</xdr:colOff>
      <xdr:row>0</xdr:row>
      <xdr:rowOff>142875</xdr:rowOff>
    </xdr:from>
    <xdr:to>
      <xdr:col>13</xdr:col>
      <xdr:colOff>342900</xdr:colOff>
      <xdr:row>5</xdr:row>
      <xdr:rowOff>19050</xdr:rowOff>
    </xdr:to>
    <xdr:sp macro="" textlink="">
      <xdr:nvSpPr>
        <xdr:cNvPr id="3" name="CaixaDeTexto 2"/>
        <xdr:cNvSpPr txBox="1"/>
      </xdr:nvSpPr>
      <xdr:spPr>
        <a:xfrm>
          <a:off x="1343024" y="142875"/>
          <a:ext cx="6324601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/>
            <a:t>Memória de Cálculo de Custos Indiretos - Projeto de Pesquisa </a:t>
          </a:r>
          <a:r>
            <a:rPr lang="pt-BR" sz="1600" b="1"/>
            <a:t>ANP</a:t>
          </a:r>
          <a:r>
            <a:rPr lang="pt-BR" sz="1600"/>
            <a:t/>
          </a:r>
          <a:br>
            <a:rPr lang="pt-BR" sz="1600"/>
          </a:br>
          <a:r>
            <a:rPr lang="pt-BR" sz="1200" b="0" i="1"/>
            <a:t>Regulamento Técnico ANP 03/2015</a:t>
          </a:r>
          <a:br>
            <a:rPr lang="pt-BR" sz="1200" b="0" i="1"/>
          </a:br>
          <a:r>
            <a:rPr lang="pt-BR" sz="1200" b="0" i="1"/>
            <a:t>Portaria</a:t>
          </a:r>
          <a:r>
            <a:rPr lang="pt-BR" sz="1200" b="0" i="1" baseline="0"/>
            <a:t> Normativa 02/2018/CPESQ/UFSC</a:t>
          </a:r>
          <a:endParaRPr lang="pt-BR" sz="1200" b="0" i="1"/>
        </a:p>
      </xdr:txBody>
    </xdr:sp>
    <xdr:clientData/>
  </xdr:twoCellAnchor>
  <xdr:twoCellAnchor>
    <xdr:from>
      <xdr:col>0</xdr:col>
      <xdr:colOff>523876</xdr:colOff>
      <xdr:row>5</xdr:row>
      <xdr:rowOff>142875</xdr:rowOff>
    </xdr:from>
    <xdr:to>
      <xdr:col>11</xdr:col>
      <xdr:colOff>123826</xdr:colOff>
      <xdr:row>26</xdr:row>
      <xdr:rowOff>133350</xdr:rowOff>
    </xdr:to>
    <xdr:sp macro="" textlink="">
      <xdr:nvSpPr>
        <xdr:cNvPr id="5" name="Retângulo 4"/>
        <xdr:cNvSpPr/>
      </xdr:nvSpPr>
      <xdr:spPr>
        <a:xfrm>
          <a:off x="523876" y="1095375"/>
          <a:ext cx="6286500" cy="39909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533401</xdr:colOff>
      <xdr:row>27</xdr:row>
      <xdr:rowOff>76200</xdr:rowOff>
    </xdr:from>
    <xdr:to>
      <xdr:col>11</xdr:col>
      <xdr:colOff>133351</xdr:colOff>
      <xdr:row>34</xdr:row>
      <xdr:rowOff>142875</xdr:rowOff>
    </xdr:to>
    <xdr:sp macro="" textlink="">
      <xdr:nvSpPr>
        <xdr:cNvPr id="10" name="Retângulo 9"/>
        <xdr:cNvSpPr/>
      </xdr:nvSpPr>
      <xdr:spPr>
        <a:xfrm>
          <a:off x="533401" y="5219700"/>
          <a:ext cx="6286500" cy="14001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8:L105"/>
  <sheetViews>
    <sheetView showGridLines="0" topLeftCell="A7" workbookViewId="0">
      <selection activeCell="C40" sqref="C40:G40"/>
    </sheetView>
  </sheetViews>
  <sheetFormatPr defaultRowHeight="15" x14ac:dyDescent="0.25"/>
  <cols>
    <col min="2" max="2" width="3.7109375" customWidth="1"/>
    <col min="9" max="9" width="25.28515625" bestFit="1" customWidth="1"/>
    <col min="10" max="10" width="23.28515625" hidden="1" customWidth="1"/>
    <col min="11" max="11" width="23.85546875" hidden="1" customWidth="1"/>
    <col min="12" max="12" width="12.140625" bestFit="1" customWidth="1"/>
  </cols>
  <sheetData>
    <row r="8" spans="1:9" x14ac:dyDescent="0.25">
      <c r="A8" s="34"/>
      <c r="B8" s="3" t="s">
        <v>88</v>
      </c>
    </row>
    <row r="9" spans="1:9" ht="37.5" customHeight="1" x14ac:dyDescent="0.25">
      <c r="A9" s="34"/>
      <c r="B9" s="70" t="s">
        <v>98</v>
      </c>
      <c r="C9" s="71"/>
      <c r="D9" s="71"/>
      <c r="E9" s="71"/>
      <c r="F9" s="71"/>
      <c r="G9" s="71"/>
      <c r="H9" s="71"/>
      <c r="I9" s="72"/>
    </row>
    <row r="10" spans="1:9" x14ac:dyDescent="0.25">
      <c r="A10" s="34"/>
      <c r="B10" s="3"/>
    </row>
    <row r="11" spans="1:9" x14ac:dyDescent="0.25">
      <c r="A11" s="34"/>
      <c r="B11" s="3" t="s">
        <v>89</v>
      </c>
    </row>
    <row r="12" spans="1:9" x14ac:dyDescent="0.25">
      <c r="A12" s="34"/>
      <c r="B12" s="73" t="s">
        <v>104</v>
      </c>
      <c r="C12" s="74"/>
      <c r="D12" s="74"/>
      <c r="E12" s="74"/>
      <c r="F12" s="74"/>
      <c r="G12" s="74"/>
      <c r="H12" s="74"/>
      <c r="I12" s="75"/>
    </row>
    <row r="15" spans="1:9" x14ac:dyDescent="0.25">
      <c r="I15" s="27" t="s">
        <v>113</v>
      </c>
    </row>
    <row r="16" spans="1:9" x14ac:dyDescent="0.25">
      <c r="B16" s="19" t="s">
        <v>6</v>
      </c>
      <c r="C16" s="20"/>
      <c r="D16" s="20"/>
      <c r="E16" s="20"/>
      <c r="F16" s="20"/>
      <c r="G16" s="20"/>
      <c r="H16" s="20"/>
      <c r="I16" s="21"/>
    </row>
    <row r="17" spans="2:9" x14ac:dyDescent="0.25">
      <c r="B17" s="16"/>
      <c r="C17" s="83" t="s">
        <v>90</v>
      </c>
      <c r="D17" s="83"/>
      <c r="E17" s="83"/>
      <c r="F17" s="83"/>
      <c r="G17" s="83"/>
      <c r="H17" s="83"/>
      <c r="I17" s="29"/>
    </row>
    <row r="18" spans="2:9" x14ac:dyDescent="0.25">
      <c r="B18" s="17"/>
      <c r="C18" s="83" t="s">
        <v>4</v>
      </c>
      <c r="D18" s="83"/>
      <c r="E18" s="83"/>
      <c r="F18" s="83"/>
      <c r="G18" s="83"/>
      <c r="H18" s="83"/>
      <c r="I18" s="29"/>
    </row>
    <row r="19" spans="2:9" x14ac:dyDescent="0.25">
      <c r="B19" s="18"/>
      <c r="C19" s="83" t="s">
        <v>7</v>
      </c>
      <c r="D19" s="83"/>
      <c r="E19" s="83"/>
      <c r="F19" s="83"/>
      <c r="G19" s="83"/>
      <c r="H19" s="83"/>
      <c r="I19" s="26"/>
    </row>
    <row r="21" spans="2:9" x14ac:dyDescent="0.25">
      <c r="B21" s="19" t="s">
        <v>8</v>
      </c>
      <c r="C21" s="20"/>
      <c r="D21" s="20"/>
      <c r="E21" s="20"/>
      <c r="F21" s="20"/>
      <c r="G21" s="20"/>
      <c r="H21" s="20"/>
      <c r="I21" s="21"/>
    </row>
    <row r="22" spans="2:9" x14ac:dyDescent="0.25">
      <c r="B22" s="14"/>
      <c r="C22" s="83" t="s">
        <v>2</v>
      </c>
      <c r="D22" s="83"/>
      <c r="E22" s="83"/>
      <c r="F22" s="83"/>
      <c r="G22" s="83"/>
      <c r="H22" s="83"/>
      <c r="I22" s="30">
        <f>I17*(1+'Dados UFSC'!$C$18)*'Dados UFSC'!$C$19/('Dados UFSC'!$C$20*12)*I18</f>
        <v>0</v>
      </c>
    </row>
    <row r="23" spans="2:9" x14ac:dyDescent="0.25">
      <c r="B23" s="14"/>
      <c r="C23" s="83" t="s">
        <v>3</v>
      </c>
      <c r="D23" s="83"/>
      <c r="E23" s="83"/>
      <c r="F23" s="83"/>
      <c r="G23" s="83"/>
      <c r="H23" s="83"/>
      <c r="I23" s="30">
        <f>I17*I18*'Dados UFSC'!$C$19*(1+'Dados UFSC'!$C$18)*'Dados UFSC'!$C$21/12</f>
        <v>0</v>
      </c>
    </row>
    <row r="24" spans="2:9" x14ac:dyDescent="0.25">
      <c r="B24" s="14"/>
      <c r="C24" s="83" t="s">
        <v>9</v>
      </c>
      <c r="D24" s="83"/>
      <c r="E24" s="83"/>
      <c r="F24" s="83"/>
      <c r="G24" s="83"/>
      <c r="H24" s="83"/>
      <c r="I24" s="31">
        <f>I17*I18*(1+'Dados UFSC'!$C$18)*'Dados UFSC'!$C$13/'Dados UFSC'!$C$17/12</f>
        <v>0</v>
      </c>
    </row>
    <row r="25" spans="2:9" x14ac:dyDescent="0.25">
      <c r="B25" s="14"/>
      <c r="C25" s="22" t="s">
        <v>32</v>
      </c>
      <c r="D25" s="22"/>
      <c r="E25" s="22"/>
      <c r="F25" s="22"/>
      <c r="G25" s="22"/>
      <c r="H25" s="22"/>
      <c r="I25" s="31">
        <f>J105</f>
        <v>0</v>
      </c>
    </row>
    <row r="26" spans="2:9" x14ac:dyDescent="0.25">
      <c r="B26" s="14"/>
      <c r="C26" s="83" t="s">
        <v>10</v>
      </c>
      <c r="D26" s="83"/>
      <c r="E26" s="83"/>
      <c r="F26" s="83"/>
      <c r="G26" s="83"/>
      <c r="H26" s="83"/>
      <c r="I26" s="31">
        <f>K105</f>
        <v>0</v>
      </c>
    </row>
    <row r="27" spans="2:9" x14ac:dyDescent="0.25">
      <c r="B27" s="80" t="s">
        <v>0</v>
      </c>
      <c r="C27" s="81"/>
      <c r="D27" s="81"/>
      <c r="E27" s="81"/>
      <c r="F27" s="81"/>
      <c r="G27" s="81"/>
      <c r="H27" s="82"/>
      <c r="I27" s="31">
        <f>SUM(I22:I26)</f>
        <v>0</v>
      </c>
    </row>
    <row r="29" spans="2:9" x14ac:dyDescent="0.25">
      <c r="B29" s="19" t="s">
        <v>11</v>
      </c>
      <c r="C29" s="20"/>
      <c r="D29" s="20"/>
      <c r="E29" s="20"/>
      <c r="F29" s="20"/>
      <c r="G29" s="20"/>
      <c r="H29" s="20"/>
      <c r="I29" s="21"/>
    </row>
    <row r="30" spans="2:9" x14ac:dyDescent="0.25">
      <c r="B30" s="14"/>
      <c r="C30" s="85" t="s">
        <v>12</v>
      </c>
      <c r="D30" s="86"/>
      <c r="E30" s="86"/>
      <c r="F30" s="86"/>
      <c r="G30" s="86"/>
      <c r="H30" s="87"/>
      <c r="I30" s="30">
        <f>I27</f>
        <v>0</v>
      </c>
    </row>
    <row r="31" spans="2:9" x14ac:dyDescent="0.25">
      <c r="B31" s="14"/>
      <c r="C31" s="88"/>
      <c r="D31" s="89"/>
      <c r="E31" s="89"/>
      <c r="F31" s="89"/>
      <c r="G31" s="89"/>
      <c r="H31" s="90"/>
      <c r="I31" s="33" t="e">
        <f>I30/I32</f>
        <v>#DIV/0!</v>
      </c>
    </row>
    <row r="32" spans="2:9" x14ac:dyDescent="0.25">
      <c r="B32" s="15"/>
      <c r="C32" s="80" t="s">
        <v>13</v>
      </c>
      <c r="D32" s="81"/>
      <c r="E32" s="81"/>
      <c r="F32" s="81"/>
      <c r="G32" s="81"/>
      <c r="H32" s="82"/>
      <c r="I32" s="32">
        <f>I19+I30</f>
        <v>0</v>
      </c>
    </row>
    <row r="35" spans="2:12" x14ac:dyDescent="0.25">
      <c r="B35" s="19" t="s">
        <v>14</v>
      </c>
      <c r="C35" s="20"/>
      <c r="D35" s="20"/>
      <c r="E35" s="20"/>
      <c r="F35" s="20"/>
      <c r="G35" s="20"/>
      <c r="H35" s="20"/>
      <c r="I35" s="21"/>
    </row>
    <row r="36" spans="2:12" x14ac:dyDescent="0.25">
      <c r="B36" s="23" t="s">
        <v>15</v>
      </c>
      <c r="C36" s="83" t="s">
        <v>16</v>
      </c>
      <c r="D36" s="83"/>
      <c r="E36" s="83"/>
      <c r="F36" s="83"/>
      <c r="G36" s="83"/>
      <c r="H36" s="23" t="s">
        <v>17</v>
      </c>
      <c r="I36" s="23" t="s">
        <v>29</v>
      </c>
      <c r="J36" t="s">
        <v>30</v>
      </c>
      <c r="K36" t="s">
        <v>31</v>
      </c>
    </row>
    <row r="37" spans="2:12" x14ac:dyDescent="0.25">
      <c r="B37" s="13">
        <v>1</v>
      </c>
      <c r="C37" s="79"/>
      <c r="D37" s="79"/>
      <c r="E37" s="79"/>
      <c r="F37" s="79"/>
      <c r="G37" s="79"/>
      <c r="H37" s="25"/>
      <c r="I37" s="26"/>
      <c r="J37" s="11">
        <f>I37/'Dados UFSC'!$C$22*H37</f>
        <v>0</v>
      </c>
      <c r="K37" s="11">
        <f>I37*'Dados UFSC'!$C$23/1500*Custo!H37</f>
        <v>0</v>
      </c>
      <c r="L37" s="12"/>
    </row>
    <row r="38" spans="2:12" x14ac:dyDescent="0.25">
      <c r="B38" s="13">
        <v>2</v>
      </c>
      <c r="C38" s="79"/>
      <c r="D38" s="79"/>
      <c r="E38" s="79"/>
      <c r="F38" s="79"/>
      <c r="G38" s="79"/>
      <c r="H38" s="25"/>
      <c r="I38" s="26"/>
      <c r="J38" s="11">
        <f>I38/'Dados UFSC'!$C$22*H38</f>
        <v>0</v>
      </c>
      <c r="K38" s="11">
        <f>I38*'Dados UFSC'!$C$23/1500*Custo!H38</f>
        <v>0</v>
      </c>
    </row>
    <row r="39" spans="2:12" x14ac:dyDescent="0.25">
      <c r="B39" s="13">
        <v>3</v>
      </c>
      <c r="C39" s="79"/>
      <c r="D39" s="79"/>
      <c r="E39" s="79"/>
      <c r="F39" s="79"/>
      <c r="G39" s="79"/>
      <c r="H39" s="25"/>
      <c r="I39" s="26"/>
      <c r="J39" s="11">
        <f>I39/'Dados UFSC'!$C$22*H39</f>
        <v>0</v>
      </c>
      <c r="K39" s="11">
        <f>I39*'Dados UFSC'!$C$23/1500*Custo!H39</f>
        <v>0</v>
      </c>
    </row>
    <row r="40" spans="2:12" x14ac:dyDescent="0.25">
      <c r="B40" s="13">
        <v>4</v>
      </c>
      <c r="C40" s="79"/>
      <c r="D40" s="79"/>
      <c r="E40" s="79"/>
      <c r="F40" s="79"/>
      <c r="G40" s="79"/>
      <c r="H40" s="25"/>
      <c r="I40" s="26"/>
      <c r="J40" s="11">
        <f>I40/'Dados UFSC'!$C$22*H40</f>
        <v>0</v>
      </c>
      <c r="K40" s="11">
        <f>I40*'Dados UFSC'!$C$23/1500*Custo!H40</f>
        <v>0</v>
      </c>
    </row>
    <row r="41" spans="2:12" x14ac:dyDescent="0.25">
      <c r="B41" s="13">
        <v>5</v>
      </c>
      <c r="C41" s="79"/>
      <c r="D41" s="79"/>
      <c r="E41" s="79"/>
      <c r="F41" s="79"/>
      <c r="G41" s="79"/>
      <c r="H41" s="25"/>
      <c r="I41" s="26"/>
      <c r="J41" s="11">
        <f>I41/'Dados UFSC'!$C$22*H41</f>
        <v>0</v>
      </c>
      <c r="K41" s="11">
        <f>I41*'Dados UFSC'!$C$23/1500*Custo!H41</f>
        <v>0</v>
      </c>
    </row>
    <row r="42" spans="2:12" x14ac:dyDescent="0.25">
      <c r="B42" s="13">
        <v>6</v>
      </c>
      <c r="C42" s="79"/>
      <c r="D42" s="79"/>
      <c r="E42" s="79"/>
      <c r="F42" s="79"/>
      <c r="G42" s="79"/>
      <c r="H42" s="25"/>
      <c r="I42" s="26"/>
      <c r="J42" s="11">
        <f>I42/'Dados UFSC'!$C$22*H42</f>
        <v>0</v>
      </c>
      <c r="K42" s="11">
        <f>I42*'Dados UFSC'!$C$23/1500*Custo!H42</f>
        <v>0</v>
      </c>
    </row>
    <row r="43" spans="2:12" x14ac:dyDescent="0.25">
      <c r="B43" s="13">
        <v>7</v>
      </c>
      <c r="C43" s="79"/>
      <c r="D43" s="79"/>
      <c r="E43" s="79"/>
      <c r="F43" s="79"/>
      <c r="G43" s="79"/>
      <c r="H43" s="25"/>
      <c r="I43" s="26"/>
      <c r="J43" s="11">
        <f>I43/'Dados UFSC'!$C$22*H43</f>
        <v>0</v>
      </c>
      <c r="K43" s="11">
        <f>I43*'Dados UFSC'!$C$23/1500*Custo!H43</f>
        <v>0</v>
      </c>
    </row>
    <row r="44" spans="2:12" x14ac:dyDescent="0.25">
      <c r="B44" s="13">
        <v>8</v>
      </c>
      <c r="C44" s="79"/>
      <c r="D44" s="79"/>
      <c r="E44" s="79"/>
      <c r="F44" s="79"/>
      <c r="G44" s="79"/>
      <c r="H44" s="25"/>
      <c r="I44" s="26"/>
      <c r="J44" s="11">
        <f>I44/'Dados UFSC'!$C$22*H44</f>
        <v>0</v>
      </c>
      <c r="K44" s="11">
        <f>I44*'Dados UFSC'!$C$23/1500*Custo!H44</f>
        <v>0</v>
      </c>
    </row>
    <row r="45" spans="2:12" x14ac:dyDescent="0.25">
      <c r="B45" s="13">
        <v>9</v>
      </c>
      <c r="C45" s="79"/>
      <c r="D45" s="79"/>
      <c r="E45" s="79"/>
      <c r="F45" s="79"/>
      <c r="G45" s="79"/>
      <c r="H45" s="25"/>
      <c r="I45" s="26"/>
      <c r="J45" s="11">
        <f>I45/'Dados UFSC'!$C$22*H45</f>
        <v>0</v>
      </c>
      <c r="K45" s="11">
        <f>I45*'Dados UFSC'!$C$23/1500*Custo!H45</f>
        <v>0</v>
      </c>
    </row>
    <row r="46" spans="2:12" x14ac:dyDescent="0.25">
      <c r="B46" s="13">
        <v>10</v>
      </c>
      <c r="C46" s="79"/>
      <c r="D46" s="79"/>
      <c r="E46" s="79"/>
      <c r="F46" s="79"/>
      <c r="G46" s="79"/>
      <c r="H46" s="25"/>
      <c r="I46" s="26"/>
      <c r="J46" s="11">
        <f>I46/'Dados UFSC'!$C$22*H46</f>
        <v>0</v>
      </c>
      <c r="K46" s="11">
        <f>I46*'Dados UFSC'!$C$23/1500*Custo!H46</f>
        <v>0</v>
      </c>
    </row>
    <row r="47" spans="2:12" x14ac:dyDescent="0.25">
      <c r="B47" s="13">
        <v>11</v>
      </c>
      <c r="C47" s="79"/>
      <c r="D47" s="79"/>
      <c r="E47" s="79"/>
      <c r="F47" s="79"/>
      <c r="G47" s="79"/>
      <c r="H47" s="25"/>
      <c r="I47" s="26"/>
      <c r="J47" s="11">
        <f>I47/'Dados UFSC'!$C$22*H47</f>
        <v>0</v>
      </c>
      <c r="K47" s="11">
        <f>I47*'Dados UFSC'!$C$23/1500*Custo!H47</f>
        <v>0</v>
      </c>
    </row>
    <row r="48" spans="2:12" x14ac:dyDescent="0.25">
      <c r="B48" s="13">
        <v>12</v>
      </c>
      <c r="C48" s="79"/>
      <c r="D48" s="79"/>
      <c r="E48" s="79"/>
      <c r="F48" s="79"/>
      <c r="G48" s="79"/>
      <c r="H48" s="25"/>
      <c r="I48" s="26"/>
      <c r="J48" s="11">
        <f>I48/'Dados UFSC'!$C$22*H48</f>
        <v>0</v>
      </c>
      <c r="K48" s="11">
        <f>I48*'Dados UFSC'!$C$23/1500*Custo!H48</f>
        <v>0</v>
      </c>
    </row>
    <row r="49" spans="2:11" x14ac:dyDescent="0.25">
      <c r="B49" s="13">
        <v>13</v>
      </c>
      <c r="C49" s="79"/>
      <c r="D49" s="79"/>
      <c r="E49" s="79"/>
      <c r="F49" s="79"/>
      <c r="G49" s="79"/>
      <c r="H49" s="25"/>
      <c r="I49" s="26"/>
      <c r="J49" s="11">
        <f>I49/'Dados UFSC'!$C$22*H49</f>
        <v>0</v>
      </c>
      <c r="K49" s="11">
        <f>I49*'Dados UFSC'!$C$23/1500*Custo!H49</f>
        <v>0</v>
      </c>
    </row>
    <row r="50" spans="2:11" x14ac:dyDescent="0.25">
      <c r="B50" s="13">
        <v>14</v>
      </c>
      <c r="C50" s="79"/>
      <c r="D50" s="79"/>
      <c r="E50" s="79"/>
      <c r="F50" s="79"/>
      <c r="G50" s="79"/>
      <c r="H50" s="25"/>
      <c r="I50" s="26"/>
      <c r="J50" s="11">
        <f>I50/'Dados UFSC'!$C$22*H50</f>
        <v>0</v>
      </c>
      <c r="K50" s="11">
        <f>I50*'Dados UFSC'!$C$23/1500*Custo!H50</f>
        <v>0</v>
      </c>
    </row>
    <row r="51" spans="2:11" x14ac:dyDescent="0.25">
      <c r="B51" s="13">
        <v>15</v>
      </c>
      <c r="C51" s="79"/>
      <c r="D51" s="79"/>
      <c r="E51" s="79"/>
      <c r="F51" s="79"/>
      <c r="G51" s="79"/>
      <c r="H51" s="25"/>
      <c r="I51" s="26"/>
      <c r="J51" s="11">
        <f>I51/'Dados UFSC'!$C$22*H51</f>
        <v>0</v>
      </c>
      <c r="K51" s="11">
        <f>I51*'Dados UFSC'!$C$23/1500*Custo!H51</f>
        <v>0</v>
      </c>
    </row>
    <row r="52" spans="2:11" x14ac:dyDescent="0.25">
      <c r="B52" s="13">
        <v>16</v>
      </c>
      <c r="C52" s="79"/>
      <c r="D52" s="79"/>
      <c r="E52" s="79"/>
      <c r="F52" s="79"/>
      <c r="G52" s="79"/>
      <c r="H52" s="25"/>
      <c r="I52" s="26"/>
      <c r="J52" s="11">
        <f>I52/'Dados UFSC'!$C$22*H52</f>
        <v>0</v>
      </c>
      <c r="K52" s="11">
        <f>I52*'Dados UFSC'!$C$23/1500*Custo!H52</f>
        <v>0</v>
      </c>
    </row>
    <row r="53" spans="2:11" x14ac:dyDescent="0.25">
      <c r="B53" s="13">
        <v>17</v>
      </c>
      <c r="C53" s="79"/>
      <c r="D53" s="79"/>
      <c r="E53" s="79"/>
      <c r="F53" s="79"/>
      <c r="G53" s="79"/>
      <c r="H53" s="25"/>
      <c r="I53" s="26"/>
      <c r="J53" s="11">
        <f>I53/'Dados UFSC'!$C$22*H53</f>
        <v>0</v>
      </c>
      <c r="K53" s="11">
        <f>I53*'Dados UFSC'!$C$23/1500*Custo!H53</f>
        <v>0</v>
      </c>
    </row>
    <row r="54" spans="2:11" x14ac:dyDescent="0.25">
      <c r="B54" s="13">
        <v>18</v>
      </c>
      <c r="C54" s="79"/>
      <c r="D54" s="79"/>
      <c r="E54" s="79"/>
      <c r="F54" s="79"/>
      <c r="G54" s="79"/>
      <c r="H54" s="25"/>
      <c r="I54" s="26"/>
      <c r="J54" s="11">
        <f>I54/'Dados UFSC'!$C$22*H54</f>
        <v>0</v>
      </c>
      <c r="K54" s="11">
        <f>I54*'Dados UFSC'!$C$23/1500*Custo!H54</f>
        <v>0</v>
      </c>
    </row>
    <row r="55" spans="2:11" x14ac:dyDescent="0.25">
      <c r="B55" s="13">
        <v>19</v>
      </c>
      <c r="C55" s="79"/>
      <c r="D55" s="79"/>
      <c r="E55" s="79"/>
      <c r="F55" s="79"/>
      <c r="G55" s="79"/>
      <c r="H55" s="25"/>
      <c r="I55" s="26"/>
      <c r="J55" s="11">
        <f>I55/'Dados UFSC'!$C$22*H55</f>
        <v>0</v>
      </c>
      <c r="K55" s="11">
        <f>I55*'Dados UFSC'!$C$23/1500*Custo!H55</f>
        <v>0</v>
      </c>
    </row>
    <row r="56" spans="2:11" x14ac:dyDescent="0.25">
      <c r="B56" s="13">
        <v>20</v>
      </c>
      <c r="C56" s="79"/>
      <c r="D56" s="79"/>
      <c r="E56" s="79"/>
      <c r="F56" s="79"/>
      <c r="G56" s="79"/>
      <c r="H56" s="25"/>
      <c r="I56" s="26"/>
      <c r="J56" s="11">
        <f>I56/'Dados UFSC'!$C$22*H56</f>
        <v>0</v>
      </c>
      <c r="K56" s="11">
        <f>I56*'Dados UFSC'!$C$23/1500*Custo!H56</f>
        <v>0</v>
      </c>
    </row>
    <row r="57" spans="2:11" hidden="1" x14ac:dyDescent="0.25">
      <c r="B57" s="13">
        <v>21</v>
      </c>
      <c r="C57" s="79"/>
      <c r="D57" s="79"/>
      <c r="E57" s="79"/>
      <c r="F57" s="79"/>
      <c r="G57" s="79"/>
      <c r="H57" s="25"/>
      <c r="I57" s="26"/>
      <c r="J57" s="11">
        <f>I57/'Dados UFSC'!$C$22*H57</f>
        <v>0</v>
      </c>
      <c r="K57" s="11">
        <f>I57*'Dados UFSC'!$C$23/1500*Custo!H57</f>
        <v>0</v>
      </c>
    </row>
    <row r="58" spans="2:11" hidden="1" x14ac:dyDescent="0.25">
      <c r="B58" s="13">
        <v>22</v>
      </c>
      <c r="C58" s="79"/>
      <c r="D58" s="79"/>
      <c r="E58" s="79"/>
      <c r="F58" s="79"/>
      <c r="G58" s="79"/>
      <c r="H58" s="25"/>
      <c r="I58" s="26"/>
      <c r="J58" s="11">
        <f>I58/'Dados UFSC'!$C$22*H58</f>
        <v>0</v>
      </c>
      <c r="K58" s="11">
        <f>I58*'Dados UFSC'!$C$23/1500*Custo!H58</f>
        <v>0</v>
      </c>
    </row>
    <row r="59" spans="2:11" hidden="1" x14ac:dyDescent="0.25">
      <c r="B59" s="13">
        <v>23</v>
      </c>
      <c r="C59" s="79"/>
      <c r="D59" s="79"/>
      <c r="E59" s="79"/>
      <c r="F59" s="79"/>
      <c r="G59" s="79"/>
      <c r="H59" s="25"/>
      <c r="I59" s="26"/>
      <c r="J59" s="11">
        <f>I59/'Dados UFSC'!$C$22*H59</f>
        <v>0</v>
      </c>
      <c r="K59" s="11">
        <f>I59*'Dados UFSC'!$C$23/1500*Custo!H59</f>
        <v>0</v>
      </c>
    </row>
    <row r="60" spans="2:11" hidden="1" x14ac:dyDescent="0.25">
      <c r="B60" s="13">
        <v>24</v>
      </c>
      <c r="C60" s="79"/>
      <c r="D60" s="79"/>
      <c r="E60" s="79"/>
      <c r="F60" s="79"/>
      <c r="G60" s="79"/>
      <c r="H60" s="25"/>
      <c r="I60" s="26"/>
      <c r="J60" s="11">
        <f>I60/'Dados UFSC'!$C$22*H60</f>
        <v>0</v>
      </c>
      <c r="K60" s="11">
        <f>I60*'Dados UFSC'!$C$23/1500*Custo!H60</f>
        <v>0</v>
      </c>
    </row>
    <row r="61" spans="2:11" hidden="1" x14ac:dyDescent="0.25">
      <c r="B61" s="13">
        <v>25</v>
      </c>
      <c r="C61" s="79"/>
      <c r="D61" s="79"/>
      <c r="E61" s="79"/>
      <c r="F61" s="79"/>
      <c r="G61" s="79"/>
      <c r="H61" s="25"/>
      <c r="I61" s="26"/>
      <c r="J61" s="11">
        <f>I61/'Dados UFSC'!$C$22*H61</f>
        <v>0</v>
      </c>
      <c r="K61" s="11">
        <f>I61*'Dados UFSC'!$C$23/1500*Custo!H61</f>
        <v>0</v>
      </c>
    </row>
    <row r="62" spans="2:11" hidden="1" x14ac:dyDescent="0.25">
      <c r="B62" s="13">
        <v>26</v>
      </c>
      <c r="C62" s="79"/>
      <c r="D62" s="79"/>
      <c r="E62" s="79"/>
      <c r="F62" s="79"/>
      <c r="G62" s="79"/>
      <c r="H62" s="25"/>
      <c r="I62" s="26"/>
      <c r="J62" s="11">
        <f>I62/'Dados UFSC'!$C$22*H62</f>
        <v>0</v>
      </c>
      <c r="K62" s="11">
        <f>I62*'Dados UFSC'!$C$23/1500*Custo!H62</f>
        <v>0</v>
      </c>
    </row>
    <row r="63" spans="2:11" hidden="1" x14ac:dyDescent="0.25">
      <c r="B63" s="13">
        <v>27</v>
      </c>
      <c r="C63" s="79"/>
      <c r="D63" s="79"/>
      <c r="E63" s="79"/>
      <c r="F63" s="79"/>
      <c r="G63" s="79"/>
      <c r="H63" s="25"/>
      <c r="I63" s="26"/>
      <c r="J63" s="11">
        <f>I63/'Dados UFSC'!$C$22*H63</f>
        <v>0</v>
      </c>
      <c r="K63" s="11">
        <f>I63*'Dados UFSC'!$C$23/1500*Custo!H63</f>
        <v>0</v>
      </c>
    </row>
    <row r="64" spans="2:11" hidden="1" x14ac:dyDescent="0.25">
      <c r="B64" s="13">
        <v>28</v>
      </c>
      <c r="C64" s="79"/>
      <c r="D64" s="79"/>
      <c r="E64" s="79"/>
      <c r="F64" s="79"/>
      <c r="G64" s="79"/>
      <c r="H64" s="25"/>
      <c r="I64" s="26"/>
      <c r="J64" s="11">
        <f>I64/'Dados UFSC'!$C$22*H64</f>
        <v>0</v>
      </c>
      <c r="K64" s="11">
        <f>I64*'Dados UFSC'!$C$23/1500*Custo!H64</f>
        <v>0</v>
      </c>
    </row>
    <row r="65" spans="2:11" hidden="1" x14ac:dyDescent="0.25">
      <c r="B65" s="13">
        <v>29</v>
      </c>
      <c r="C65" s="79"/>
      <c r="D65" s="79"/>
      <c r="E65" s="79"/>
      <c r="F65" s="79"/>
      <c r="G65" s="79"/>
      <c r="H65" s="25"/>
      <c r="I65" s="26"/>
      <c r="J65" s="11">
        <f>I65/'Dados UFSC'!$C$22*H65</f>
        <v>0</v>
      </c>
      <c r="K65" s="11">
        <f>I65*'Dados UFSC'!$C$23/1500*Custo!H65</f>
        <v>0</v>
      </c>
    </row>
    <row r="66" spans="2:11" hidden="1" x14ac:dyDescent="0.25">
      <c r="B66" s="13">
        <v>30</v>
      </c>
      <c r="C66" s="79"/>
      <c r="D66" s="79"/>
      <c r="E66" s="79"/>
      <c r="F66" s="79"/>
      <c r="G66" s="79"/>
      <c r="H66" s="25"/>
      <c r="I66" s="26"/>
      <c r="J66" s="11">
        <f>I66/'Dados UFSC'!$C$22*H66</f>
        <v>0</v>
      </c>
      <c r="K66" s="11">
        <f>I66*'Dados UFSC'!$C$23/1500*Custo!H66</f>
        <v>0</v>
      </c>
    </row>
    <row r="67" spans="2:11" hidden="1" x14ac:dyDescent="0.25">
      <c r="B67" s="13">
        <v>31</v>
      </c>
      <c r="C67" s="79"/>
      <c r="D67" s="79"/>
      <c r="E67" s="79"/>
      <c r="F67" s="79"/>
      <c r="G67" s="79"/>
      <c r="H67" s="25"/>
      <c r="I67" s="26"/>
      <c r="J67" s="11">
        <f>I67/'Dados UFSC'!$C$22*H67</f>
        <v>0</v>
      </c>
      <c r="K67" s="11">
        <f>I67*'Dados UFSC'!$C$23/1500*Custo!H67</f>
        <v>0</v>
      </c>
    </row>
    <row r="68" spans="2:11" hidden="1" x14ac:dyDescent="0.25">
      <c r="B68" s="13">
        <v>32</v>
      </c>
      <c r="C68" s="79"/>
      <c r="D68" s="79"/>
      <c r="E68" s="79"/>
      <c r="F68" s="79"/>
      <c r="G68" s="79"/>
      <c r="H68" s="25"/>
      <c r="I68" s="26"/>
      <c r="J68" s="11">
        <f>I68/'Dados UFSC'!$C$22*H68</f>
        <v>0</v>
      </c>
      <c r="K68" s="11">
        <f>I68*'Dados UFSC'!$C$23/1500*Custo!H68</f>
        <v>0</v>
      </c>
    </row>
    <row r="69" spans="2:11" hidden="1" x14ac:dyDescent="0.25">
      <c r="B69" s="13">
        <v>33</v>
      </c>
      <c r="C69" s="79"/>
      <c r="D69" s="79"/>
      <c r="E69" s="79"/>
      <c r="F69" s="79"/>
      <c r="G69" s="79"/>
      <c r="H69" s="25"/>
      <c r="I69" s="26"/>
      <c r="J69" s="11">
        <f>I69/'Dados UFSC'!$C$22*H69</f>
        <v>0</v>
      </c>
      <c r="K69" s="11">
        <f>I69*'Dados UFSC'!$C$23/1500*Custo!H69</f>
        <v>0</v>
      </c>
    </row>
    <row r="70" spans="2:11" hidden="1" x14ac:dyDescent="0.25">
      <c r="B70" s="13">
        <v>34</v>
      </c>
      <c r="C70" s="79"/>
      <c r="D70" s="79"/>
      <c r="E70" s="79"/>
      <c r="F70" s="79"/>
      <c r="G70" s="79"/>
      <c r="H70" s="25"/>
      <c r="I70" s="26"/>
      <c r="J70" s="11">
        <f>I70/'Dados UFSC'!$C$22*H70</f>
        <v>0</v>
      </c>
      <c r="K70" s="11">
        <f>I70*'Dados UFSC'!$C$23/1500*Custo!H70</f>
        <v>0</v>
      </c>
    </row>
    <row r="71" spans="2:11" hidden="1" x14ac:dyDescent="0.25">
      <c r="B71" s="13">
        <v>35</v>
      </c>
      <c r="C71" s="79"/>
      <c r="D71" s="79"/>
      <c r="E71" s="79"/>
      <c r="F71" s="79"/>
      <c r="G71" s="79"/>
      <c r="H71" s="25"/>
      <c r="I71" s="26"/>
      <c r="J71" s="11">
        <f>I71/'Dados UFSC'!$C$22*H71</f>
        <v>0</v>
      </c>
      <c r="K71" s="11">
        <f>I71*'Dados UFSC'!$C$23/1500*Custo!H71</f>
        <v>0</v>
      </c>
    </row>
    <row r="72" spans="2:11" hidden="1" x14ac:dyDescent="0.25">
      <c r="B72" s="13">
        <v>36</v>
      </c>
      <c r="C72" s="79"/>
      <c r="D72" s="79"/>
      <c r="E72" s="79"/>
      <c r="F72" s="79"/>
      <c r="G72" s="79"/>
      <c r="H72" s="25"/>
      <c r="I72" s="26"/>
      <c r="J72" s="11">
        <f>I72/'Dados UFSC'!$C$22*H72</f>
        <v>0</v>
      </c>
      <c r="K72" s="11">
        <f>I72*'Dados UFSC'!$C$23/1500*Custo!H72</f>
        <v>0</v>
      </c>
    </row>
    <row r="73" spans="2:11" hidden="1" x14ac:dyDescent="0.25">
      <c r="B73" s="13">
        <v>37</v>
      </c>
      <c r="C73" s="79"/>
      <c r="D73" s="79"/>
      <c r="E73" s="79"/>
      <c r="F73" s="79"/>
      <c r="G73" s="79"/>
      <c r="H73" s="25"/>
      <c r="I73" s="26"/>
      <c r="J73" s="11">
        <f>I73/'Dados UFSC'!$C$22*H73</f>
        <v>0</v>
      </c>
      <c r="K73" s="11">
        <f>I73*'Dados UFSC'!$C$23/1500*Custo!H73</f>
        <v>0</v>
      </c>
    </row>
    <row r="74" spans="2:11" hidden="1" x14ac:dyDescent="0.25">
      <c r="B74" s="13">
        <v>38</v>
      </c>
      <c r="C74" s="79"/>
      <c r="D74" s="79"/>
      <c r="E74" s="79"/>
      <c r="F74" s="79"/>
      <c r="G74" s="79"/>
      <c r="H74" s="25"/>
      <c r="I74" s="26"/>
      <c r="J74" s="11">
        <f>I74/'Dados UFSC'!$C$22*H74</f>
        <v>0</v>
      </c>
      <c r="K74" s="11">
        <f>I74*'Dados UFSC'!$C$23/1500*Custo!H74</f>
        <v>0</v>
      </c>
    </row>
    <row r="75" spans="2:11" hidden="1" x14ac:dyDescent="0.25">
      <c r="B75" s="13">
        <v>39</v>
      </c>
      <c r="C75" s="79"/>
      <c r="D75" s="79"/>
      <c r="E75" s="79"/>
      <c r="F75" s="79"/>
      <c r="G75" s="79"/>
      <c r="H75" s="25"/>
      <c r="I75" s="26"/>
      <c r="J75" s="11">
        <f>I75/'Dados UFSC'!$C$22*H75</f>
        <v>0</v>
      </c>
      <c r="K75" s="11">
        <f>I75*'Dados UFSC'!$C$23/1500*Custo!H75</f>
        <v>0</v>
      </c>
    </row>
    <row r="76" spans="2:11" hidden="1" x14ac:dyDescent="0.25">
      <c r="B76" s="13">
        <v>40</v>
      </c>
      <c r="C76" s="79"/>
      <c r="D76" s="79"/>
      <c r="E76" s="79"/>
      <c r="F76" s="79"/>
      <c r="G76" s="79"/>
      <c r="H76" s="25"/>
      <c r="I76" s="26"/>
      <c r="J76" s="11">
        <f>I76/'Dados UFSC'!$C$22*H76</f>
        <v>0</v>
      </c>
      <c r="K76" s="11">
        <f>I76*'Dados UFSC'!$C$23/1500*Custo!H76</f>
        <v>0</v>
      </c>
    </row>
    <row r="77" spans="2:11" hidden="1" x14ac:dyDescent="0.25">
      <c r="B77" s="13">
        <v>41</v>
      </c>
      <c r="C77" s="79"/>
      <c r="D77" s="79"/>
      <c r="E77" s="79"/>
      <c r="F77" s="79"/>
      <c r="G77" s="79"/>
      <c r="H77" s="25"/>
      <c r="I77" s="26"/>
      <c r="J77" s="11">
        <f>I77/'Dados UFSC'!$C$22*H77</f>
        <v>0</v>
      </c>
      <c r="K77" s="11">
        <f>I77*'Dados UFSC'!$C$23/1500*Custo!H77</f>
        <v>0</v>
      </c>
    </row>
    <row r="78" spans="2:11" hidden="1" x14ac:dyDescent="0.25">
      <c r="B78" s="13">
        <v>42</v>
      </c>
      <c r="C78" s="79"/>
      <c r="D78" s="79"/>
      <c r="E78" s="79"/>
      <c r="F78" s="79"/>
      <c r="G78" s="79"/>
      <c r="H78" s="25"/>
      <c r="I78" s="26"/>
      <c r="J78" s="11">
        <f>I78/'Dados UFSC'!$C$22*H78</f>
        <v>0</v>
      </c>
      <c r="K78" s="11">
        <f>I78*'Dados UFSC'!$C$23/1500*Custo!H78</f>
        <v>0</v>
      </c>
    </row>
    <row r="79" spans="2:11" hidden="1" x14ac:dyDescent="0.25">
      <c r="B79" s="13">
        <v>43</v>
      </c>
      <c r="C79" s="79"/>
      <c r="D79" s="79"/>
      <c r="E79" s="79"/>
      <c r="F79" s="79"/>
      <c r="G79" s="79"/>
      <c r="H79" s="25"/>
      <c r="I79" s="26"/>
      <c r="J79" s="11">
        <f>I79/'Dados UFSC'!$C$22*H79</f>
        <v>0</v>
      </c>
      <c r="K79" s="11">
        <f>I79*'Dados UFSC'!$C$23/1500*Custo!H79</f>
        <v>0</v>
      </c>
    </row>
    <row r="80" spans="2:11" hidden="1" x14ac:dyDescent="0.25">
      <c r="B80" s="13">
        <v>44</v>
      </c>
      <c r="C80" s="79"/>
      <c r="D80" s="79"/>
      <c r="E80" s="79"/>
      <c r="F80" s="79"/>
      <c r="G80" s="79"/>
      <c r="H80" s="25"/>
      <c r="I80" s="26"/>
      <c r="J80" s="11">
        <f>I80/'Dados UFSC'!$C$22*H80</f>
        <v>0</v>
      </c>
      <c r="K80" s="11">
        <f>I80*'Dados UFSC'!$C$23/1500*Custo!H80</f>
        <v>0</v>
      </c>
    </row>
    <row r="81" spans="1:11" hidden="1" x14ac:dyDescent="0.25">
      <c r="B81" s="13">
        <v>45</v>
      </c>
      <c r="C81" s="79"/>
      <c r="D81" s="79"/>
      <c r="E81" s="79"/>
      <c r="F81" s="79"/>
      <c r="G81" s="79"/>
      <c r="H81" s="25"/>
      <c r="I81" s="26"/>
      <c r="J81" s="11">
        <f>I81/'Dados UFSC'!$C$22*H81</f>
        <v>0</v>
      </c>
      <c r="K81" s="11">
        <f>I81*'Dados UFSC'!$C$23/1500*Custo!H81</f>
        <v>0</v>
      </c>
    </row>
    <row r="82" spans="1:11" hidden="1" x14ac:dyDescent="0.25">
      <c r="B82" s="13">
        <v>46</v>
      </c>
      <c r="C82" s="79"/>
      <c r="D82" s="79"/>
      <c r="E82" s="79"/>
      <c r="F82" s="79"/>
      <c r="G82" s="79"/>
      <c r="H82" s="25"/>
      <c r="I82" s="26"/>
      <c r="J82" s="11">
        <f>I82/'Dados UFSC'!$C$22*H82</f>
        <v>0</v>
      </c>
      <c r="K82" s="11">
        <f>I82*'Dados UFSC'!$C$23/1500*Custo!H82</f>
        <v>0</v>
      </c>
    </row>
    <row r="83" spans="1:11" hidden="1" x14ac:dyDescent="0.25">
      <c r="B83" s="13">
        <v>47</v>
      </c>
      <c r="C83" s="79"/>
      <c r="D83" s="79"/>
      <c r="E83" s="79"/>
      <c r="F83" s="79"/>
      <c r="G83" s="79"/>
      <c r="H83" s="25"/>
      <c r="I83" s="26"/>
      <c r="J83" s="11">
        <f>I83/'Dados UFSC'!$C$22*H83</f>
        <v>0</v>
      </c>
      <c r="K83" s="11">
        <f>I83*'Dados UFSC'!$C$23/1500*Custo!H83</f>
        <v>0</v>
      </c>
    </row>
    <row r="84" spans="1:11" hidden="1" x14ac:dyDescent="0.25">
      <c r="B84" s="13">
        <v>48</v>
      </c>
      <c r="C84" s="79"/>
      <c r="D84" s="79"/>
      <c r="E84" s="79"/>
      <c r="F84" s="79"/>
      <c r="G84" s="79"/>
      <c r="H84" s="25"/>
      <c r="I84" s="26"/>
      <c r="J84" s="11">
        <f>I84/'Dados UFSC'!$C$22*H84</f>
        <v>0</v>
      </c>
      <c r="K84" s="11">
        <f>I84*'Dados UFSC'!$C$23/1500*Custo!H84</f>
        <v>0</v>
      </c>
    </row>
    <row r="85" spans="1:11" hidden="1" x14ac:dyDescent="0.25">
      <c r="B85" s="13">
        <v>49</v>
      </c>
      <c r="C85" s="79"/>
      <c r="D85" s="79"/>
      <c r="E85" s="79"/>
      <c r="F85" s="79"/>
      <c r="G85" s="79"/>
      <c r="H85" s="25"/>
      <c r="I85" s="26"/>
      <c r="J85" s="11">
        <f>I85/'Dados UFSC'!$C$22*H85</f>
        <v>0</v>
      </c>
      <c r="K85" s="11">
        <f>I85*'Dados UFSC'!$C$23/1500*Custo!H85</f>
        <v>0</v>
      </c>
    </row>
    <row r="86" spans="1:11" hidden="1" x14ac:dyDescent="0.25">
      <c r="B86" s="13">
        <v>50</v>
      </c>
      <c r="C86" s="79"/>
      <c r="D86" s="79"/>
      <c r="E86" s="79"/>
      <c r="F86" s="79"/>
      <c r="G86" s="79"/>
      <c r="H86" s="25"/>
      <c r="I86" s="26"/>
      <c r="J86" s="11">
        <f>I86/'Dados UFSC'!$C$22*H86</f>
        <v>0</v>
      </c>
      <c r="K86" s="11">
        <f>I86*'Dados UFSC'!$C$23/1500*Custo!H86</f>
        <v>0</v>
      </c>
    </row>
    <row r="87" spans="1:11" x14ac:dyDescent="0.25">
      <c r="B87" s="8"/>
    </row>
    <row r="88" spans="1:11" x14ac:dyDescent="0.25">
      <c r="A88" s="34"/>
      <c r="B88" s="35" t="s">
        <v>103</v>
      </c>
      <c r="C88" s="28"/>
      <c r="D88" s="28"/>
      <c r="E88" s="28"/>
      <c r="F88" s="28"/>
      <c r="G88" s="28"/>
      <c r="H88" s="28"/>
      <c r="I88" s="28"/>
    </row>
    <row r="89" spans="1:11" ht="33.75" customHeight="1" x14ac:dyDescent="0.25">
      <c r="A89" s="34"/>
      <c r="B89" s="78" t="s">
        <v>99</v>
      </c>
      <c r="C89" s="78"/>
      <c r="D89" s="78"/>
      <c r="E89" s="78"/>
      <c r="F89" s="78"/>
      <c r="G89" s="78"/>
      <c r="H89" s="78"/>
      <c r="I89" s="78"/>
    </row>
    <row r="90" spans="1:11" x14ac:dyDescent="0.25">
      <c r="A90" s="34"/>
      <c r="B90" s="36"/>
      <c r="C90" s="36"/>
      <c r="D90" s="36"/>
      <c r="E90" s="36"/>
      <c r="F90" s="36"/>
      <c r="G90" s="36"/>
      <c r="H90" s="36"/>
      <c r="I90" s="36"/>
    </row>
    <row r="91" spans="1:11" x14ac:dyDescent="0.25">
      <c r="A91" s="34"/>
      <c r="B91" s="36"/>
      <c r="C91" s="36"/>
      <c r="D91" s="36"/>
      <c r="E91" s="36"/>
      <c r="F91" s="36"/>
      <c r="G91" s="36"/>
      <c r="H91" s="36"/>
      <c r="I91" s="36"/>
    </row>
    <row r="92" spans="1:11" ht="12.75" customHeight="1" x14ac:dyDescent="0.25">
      <c r="A92" s="34"/>
      <c r="B92" s="76" t="str">
        <f>B12</f>
        <v>Nome do Coordenador do Projeto</v>
      </c>
      <c r="C92" s="76"/>
      <c r="D92" s="76"/>
      <c r="E92" s="76"/>
      <c r="F92" s="76"/>
      <c r="G92" s="76"/>
      <c r="H92" s="76"/>
      <c r="I92" s="76"/>
    </row>
    <row r="93" spans="1:11" ht="12.75" customHeight="1" x14ac:dyDescent="0.25">
      <c r="A93" s="34"/>
      <c r="B93" s="37"/>
      <c r="C93" s="37"/>
      <c r="D93" s="37"/>
      <c r="E93" s="37"/>
      <c r="F93" s="37"/>
      <c r="G93" s="37"/>
      <c r="H93" s="37"/>
      <c r="I93" s="37"/>
    </row>
    <row r="94" spans="1:11" x14ac:dyDescent="0.25">
      <c r="A94" s="34"/>
      <c r="B94" s="78" t="s">
        <v>100</v>
      </c>
      <c r="C94" s="78"/>
      <c r="D94" s="78"/>
      <c r="E94" s="78"/>
      <c r="F94" s="78"/>
      <c r="G94" s="78"/>
      <c r="H94" s="78"/>
      <c r="I94" s="78"/>
    </row>
    <row r="95" spans="1:11" x14ac:dyDescent="0.25">
      <c r="A95" s="34"/>
      <c r="B95" s="36"/>
      <c r="C95" s="36"/>
      <c r="D95" s="36"/>
      <c r="E95" s="36"/>
      <c r="F95" s="36"/>
      <c r="G95" s="36"/>
      <c r="H95" s="36"/>
      <c r="I95" s="36"/>
    </row>
    <row r="96" spans="1:11" x14ac:dyDescent="0.25">
      <c r="A96" s="34"/>
      <c r="B96" s="28"/>
      <c r="C96" s="28"/>
      <c r="D96" s="28"/>
      <c r="E96" s="28"/>
      <c r="F96" s="28"/>
      <c r="G96" s="28"/>
      <c r="H96" s="28"/>
      <c r="I96" s="28"/>
    </row>
    <row r="97" spans="1:11" x14ac:dyDescent="0.25">
      <c r="A97" s="34"/>
      <c r="B97" s="77" t="s">
        <v>101</v>
      </c>
      <c r="C97" s="77"/>
      <c r="D97" s="77"/>
      <c r="E97" s="77"/>
      <c r="F97" s="77"/>
      <c r="G97" s="77"/>
      <c r="H97" s="77"/>
      <c r="I97" s="77"/>
    </row>
    <row r="98" spans="1:11" x14ac:dyDescent="0.25">
      <c r="A98" s="34"/>
      <c r="B98" s="77" t="s">
        <v>102</v>
      </c>
      <c r="C98" s="77"/>
      <c r="D98" s="77"/>
      <c r="E98" s="77"/>
      <c r="F98" s="77"/>
      <c r="G98" s="77"/>
      <c r="H98" s="77"/>
      <c r="I98" s="77"/>
    </row>
    <row r="99" spans="1:11" x14ac:dyDescent="0.25">
      <c r="A99" s="34"/>
      <c r="B99" s="28"/>
      <c r="C99" s="28"/>
      <c r="D99" s="28"/>
      <c r="E99" s="28"/>
      <c r="F99" s="28"/>
      <c r="G99" s="28"/>
      <c r="H99" s="28"/>
      <c r="I99" s="28"/>
    </row>
    <row r="100" spans="1:11" ht="67.5" customHeight="1" x14ac:dyDescent="0.25">
      <c r="A100" s="34"/>
      <c r="B100" s="84" t="s">
        <v>106</v>
      </c>
      <c r="C100" s="84"/>
      <c r="D100" s="84"/>
      <c r="E100" s="84"/>
      <c r="F100" s="84"/>
      <c r="G100" s="84"/>
      <c r="H100" s="84"/>
      <c r="I100" s="84"/>
    </row>
    <row r="101" spans="1:11" x14ac:dyDescent="0.25">
      <c r="A101" s="34"/>
      <c r="B101" s="28"/>
      <c r="C101" s="28"/>
      <c r="D101" s="28"/>
      <c r="E101" s="28"/>
      <c r="F101" s="28"/>
      <c r="G101" s="28"/>
      <c r="H101" s="28"/>
      <c r="I101" s="28"/>
    </row>
    <row r="102" spans="1:11" x14ac:dyDescent="0.25">
      <c r="A102" s="34"/>
      <c r="B102" s="28"/>
      <c r="C102" s="28"/>
      <c r="D102" s="28"/>
      <c r="E102" s="28"/>
      <c r="F102" s="28"/>
      <c r="G102" s="28"/>
      <c r="H102" s="28"/>
      <c r="I102" s="28"/>
    </row>
    <row r="103" spans="1:11" x14ac:dyDescent="0.25">
      <c r="A103" s="34"/>
      <c r="B103" s="76" t="s">
        <v>107</v>
      </c>
      <c r="C103" s="76"/>
      <c r="D103" s="76"/>
      <c r="E103" s="76"/>
      <c r="F103" s="76"/>
      <c r="G103" s="76"/>
      <c r="H103" s="76"/>
      <c r="I103" s="76"/>
    </row>
    <row r="104" spans="1:11" x14ac:dyDescent="0.25">
      <c r="A104" s="34"/>
      <c r="B104" s="76" t="s">
        <v>87</v>
      </c>
      <c r="C104" s="76"/>
      <c r="D104" s="76"/>
      <c r="E104" s="76"/>
      <c r="F104" s="76"/>
      <c r="G104" s="76"/>
      <c r="H104" s="76"/>
      <c r="I104" s="76"/>
    </row>
    <row r="105" spans="1:11" x14ac:dyDescent="0.25">
      <c r="J105" s="12">
        <f>SUM(J37:J86)</f>
        <v>0</v>
      </c>
      <c r="K105" s="12">
        <f>SUM(K37:K86)</f>
        <v>0</v>
      </c>
    </row>
  </sheetData>
  <sheetProtection algorithmName="SHA-512" hashValue="QHZltGvfwNay4E1QlmIF8G4U+J7HRerEodUNu/b37IQm/C07wzh2UWuhfW92BsMeMU9+UDQ2URzwy3NPBWZIVg==" saltValue="8SXCsdPKdLwBN+X6zTVZOQ==" spinCount="100000" sheet="1" objects="1" scenarios="1" selectLockedCells="1"/>
  <mergeCells count="71">
    <mergeCell ref="C72:G72"/>
    <mergeCell ref="C73:G73"/>
    <mergeCell ref="C86:G86"/>
    <mergeCell ref="C75:G75"/>
    <mergeCell ref="C77:G77"/>
    <mergeCell ref="C78:G78"/>
    <mergeCell ref="C79:G79"/>
    <mergeCell ref="C80:G80"/>
    <mergeCell ref="C76:G76"/>
    <mergeCell ref="C81:G81"/>
    <mergeCell ref="C82:G82"/>
    <mergeCell ref="C83:G83"/>
    <mergeCell ref="C84:G84"/>
    <mergeCell ref="C85:G85"/>
    <mergeCell ref="C42:G42"/>
    <mergeCell ref="C48:G48"/>
    <mergeCell ref="C49:G49"/>
    <mergeCell ref="C62:G62"/>
    <mergeCell ref="C51:G51"/>
    <mergeCell ref="C52:G52"/>
    <mergeCell ref="C53:G53"/>
    <mergeCell ref="C54:G54"/>
    <mergeCell ref="C55:G55"/>
    <mergeCell ref="C56:G56"/>
    <mergeCell ref="C57:G57"/>
    <mergeCell ref="C58:G58"/>
    <mergeCell ref="C59:G59"/>
    <mergeCell ref="C60:G60"/>
    <mergeCell ref="C61:G61"/>
    <mergeCell ref="C26:H26"/>
    <mergeCell ref="C36:G36"/>
    <mergeCell ref="C30:H31"/>
    <mergeCell ref="C40:G40"/>
    <mergeCell ref="C41:G41"/>
    <mergeCell ref="C18:H18"/>
    <mergeCell ref="C19:H19"/>
    <mergeCell ref="C22:H22"/>
    <mergeCell ref="C23:H23"/>
    <mergeCell ref="C24:H24"/>
    <mergeCell ref="B103:I103"/>
    <mergeCell ref="B104:I104"/>
    <mergeCell ref="B100:I100"/>
    <mergeCell ref="C45:G45"/>
    <mergeCell ref="C46:G46"/>
    <mergeCell ref="C47:G47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B9:I9"/>
    <mergeCell ref="B12:I12"/>
    <mergeCell ref="B92:I92"/>
    <mergeCell ref="B97:I97"/>
    <mergeCell ref="B98:I98"/>
    <mergeCell ref="B89:I89"/>
    <mergeCell ref="B94:I94"/>
    <mergeCell ref="C38:G38"/>
    <mergeCell ref="C32:H32"/>
    <mergeCell ref="B27:H27"/>
    <mergeCell ref="C37:G37"/>
    <mergeCell ref="C50:G50"/>
    <mergeCell ref="C39:G39"/>
    <mergeCell ref="C43:G43"/>
    <mergeCell ref="C44:G44"/>
    <mergeCell ref="C17:H17"/>
  </mergeCells>
  <pageMargins left="0.51181102362204722" right="0.51181102362204722" top="0.78740157480314965" bottom="0.78740157480314965" header="0.31496062992125984" footer="0.31496062992125984"/>
  <pageSetup paperSize="9" scale="82" fitToHeight="2" orientation="portrait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8"/>
  <sheetViews>
    <sheetView showGridLines="0" workbookViewId="0">
      <selection activeCell="B20" sqref="B20"/>
    </sheetView>
  </sheetViews>
  <sheetFormatPr defaultRowHeight="15" x14ac:dyDescent="0.25"/>
  <cols>
    <col min="1" max="1" width="2.85546875" customWidth="1"/>
    <col min="2" max="2" width="86" bestFit="1" customWidth="1"/>
    <col min="3" max="3" width="24" customWidth="1"/>
    <col min="4" max="4" width="20.7109375" customWidth="1"/>
    <col min="5" max="5" width="22.140625" customWidth="1"/>
  </cols>
  <sheetData>
    <row r="1" spans="2:3" s="3" customFormat="1" x14ac:dyDescent="0.25"/>
    <row r="2" spans="2:3" s="3" customFormat="1" x14ac:dyDescent="0.25">
      <c r="C2" s="6" t="s">
        <v>1</v>
      </c>
    </row>
    <row r="3" spans="2:3" s="3" customFormat="1" ht="18.75" x14ac:dyDescent="0.3">
      <c r="C3" s="1"/>
    </row>
    <row r="4" spans="2:3" s="3" customFormat="1" x14ac:dyDescent="0.25"/>
    <row r="5" spans="2:3" s="3" customFormat="1" x14ac:dyDescent="0.25"/>
    <row r="6" spans="2:3" x14ac:dyDescent="0.25">
      <c r="B6" s="4"/>
      <c r="C6" s="69" t="str">
        <f>Custo!I15</f>
        <v>atualizada em 31/03/2025</v>
      </c>
    </row>
    <row r="7" spans="2:3" x14ac:dyDescent="0.25">
      <c r="B7" s="5" t="s">
        <v>18</v>
      </c>
      <c r="C7" s="7" t="s">
        <v>5</v>
      </c>
    </row>
    <row r="8" spans="2:3" x14ac:dyDescent="0.25">
      <c r="B8" s="109" t="s">
        <v>108</v>
      </c>
      <c r="C8" s="110">
        <v>11511463.060000001</v>
      </c>
    </row>
    <row r="9" spans="2:3" x14ac:dyDescent="0.25">
      <c r="B9" s="109" t="s">
        <v>109</v>
      </c>
      <c r="C9" s="110">
        <v>7372924.3300000001</v>
      </c>
    </row>
    <row r="10" spans="2:3" x14ac:dyDescent="0.25">
      <c r="B10" s="109" t="s">
        <v>111</v>
      </c>
      <c r="C10" s="110">
        <v>22520042.920000002</v>
      </c>
    </row>
    <row r="11" spans="2:3" x14ac:dyDescent="0.25">
      <c r="B11" s="109" t="s">
        <v>110</v>
      </c>
      <c r="C11" s="110">
        <v>21245014.539999999</v>
      </c>
    </row>
    <row r="12" spans="2:3" x14ac:dyDescent="0.25">
      <c r="B12" s="109" t="s">
        <v>112</v>
      </c>
      <c r="C12" s="110">
        <v>13878.92</v>
      </c>
    </row>
    <row r="13" spans="2:3" x14ac:dyDescent="0.25">
      <c r="B13" s="111" t="s">
        <v>0</v>
      </c>
      <c r="C13" s="112">
        <f>SUM(C8:C12)</f>
        <v>62663323.770000003</v>
      </c>
    </row>
    <row r="16" spans="2:3" x14ac:dyDescent="0.25">
      <c r="B16" s="5" t="s">
        <v>19</v>
      </c>
      <c r="C16" s="7"/>
    </row>
    <row r="17" spans="2:3" x14ac:dyDescent="0.25">
      <c r="B17" s="2" t="s">
        <v>22</v>
      </c>
      <c r="C17" s="2">
        <v>421480</v>
      </c>
    </row>
    <row r="18" spans="2:3" x14ac:dyDescent="0.25">
      <c r="B18" s="2" t="s">
        <v>20</v>
      </c>
      <c r="C18" s="24">
        <v>0.45</v>
      </c>
    </row>
    <row r="19" spans="2:3" x14ac:dyDescent="0.25">
      <c r="B19" s="109" t="s">
        <v>114</v>
      </c>
      <c r="C19" s="110">
        <v>7064.78</v>
      </c>
    </row>
    <row r="20" spans="2:3" x14ac:dyDescent="0.25">
      <c r="B20" s="2" t="s">
        <v>21</v>
      </c>
      <c r="C20" s="2">
        <v>50</v>
      </c>
    </row>
    <row r="21" spans="2:3" x14ac:dyDescent="0.25">
      <c r="B21" s="2" t="s">
        <v>23</v>
      </c>
      <c r="C21" s="24">
        <v>0.02</v>
      </c>
    </row>
    <row r="22" spans="2:3" x14ac:dyDescent="0.25">
      <c r="B22" s="2" t="s">
        <v>25</v>
      </c>
      <c r="C22" s="2">
        <v>5000</v>
      </c>
    </row>
    <row r="23" spans="2:3" x14ac:dyDescent="0.25">
      <c r="B23" s="2" t="s">
        <v>87</v>
      </c>
      <c r="C23" s="24">
        <v>0.05</v>
      </c>
    </row>
    <row r="24" spans="2:3" x14ac:dyDescent="0.25">
      <c r="C24" s="9"/>
    </row>
    <row r="26" spans="2:3" x14ac:dyDescent="0.25">
      <c r="B26" s="5" t="s">
        <v>28</v>
      </c>
      <c r="C26" s="7"/>
    </row>
    <row r="27" spans="2:3" x14ac:dyDescent="0.25">
      <c r="B27" s="2" t="s">
        <v>27</v>
      </c>
      <c r="C27" s="10">
        <f>C13/C17/12*(1+C18)</f>
        <v>17.964834129436749</v>
      </c>
    </row>
    <row r="28" spans="2:3" x14ac:dyDescent="0.25">
      <c r="B28" s="2" t="s">
        <v>26</v>
      </c>
      <c r="C28" s="10">
        <f>C13/C17*(1+C18)</f>
        <v>215.57800955324097</v>
      </c>
    </row>
  </sheetData>
  <sheetProtection selectLockedCells="1"/>
  <hyperlinks>
    <hyperlink ref="C2" location="Resumo!A1" display="Retorn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145"/>
  <sheetViews>
    <sheetView showGridLines="0" tabSelected="1" workbookViewId="0">
      <selection activeCell="P33" sqref="P33"/>
    </sheetView>
  </sheetViews>
  <sheetFormatPr defaultRowHeight="15" x14ac:dyDescent="0.25"/>
  <cols>
    <col min="1" max="1" width="8.42578125" style="40" customWidth="1"/>
    <col min="2" max="2" width="6.7109375" style="40" customWidth="1"/>
    <col min="3" max="3" width="3.7109375" style="40" customWidth="1"/>
    <col min="4" max="4" width="11.140625" style="40" bestFit="1" customWidth="1"/>
    <col min="5" max="9" width="9.140625" style="40"/>
    <col min="10" max="10" width="9" style="40" customWidth="1"/>
    <col min="11" max="11" width="16.85546875" style="40" bestFit="1" customWidth="1"/>
    <col min="12" max="13" width="5.28515625" style="40" customWidth="1"/>
    <col min="14" max="16384" width="9.140625" style="40"/>
  </cols>
  <sheetData>
    <row r="7" spans="1:11" x14ac:dyDescent="0.25">
      <c r="A7" s="38"/>
      <c r="B7" s="39" t="s">
        <v>35</v>
      </c>
    </row>
    <row r="8" spans="1:11" x14ac:dyDescent="0.25">
      <c r="A8" s="38"/>
      <c r="B8" s="38"/>
      <c r="C8" s="39"/>
    </row>
    <row r="9" spans="1:11" x14ac:dyDescent="0.25">
      <c r="B9" s="41"/>
      <c r="C9" s="97" t="s">
        <v>38</v>
      </c>
      <c r="D9" s="97"/>
      <c r="E9" s="97"/>
      <c r="F9" s="97"/>
      <c r="G9" s="97"/>
      <c r="H9" s="97"/>
      <c r="I9" s="97"/>
      <c r="J9" s="97"/>
      <c r="K9" s="42" t="s">
        <v>5</v>
      </c>
    </row>
    <row r="10" spans="1:11" x14ac:dyDescent="0.25">
      <c r="B10" s="43"/>
      <c r="C10" s="96" t="s">
        <v>39</v>
      </c>
      <c r="D10" s="96"/>
      <c r="E10" s="96"/>
      <c r="F10" s="96"/>
      <c r="G10" s="96"/>
      <c r="H10" s="96"/>
      <c r="I10" s="96"/>
      <c r="J10" s="96"/>
      <c r="K10" s="44">
        <f>'Dados UFSC'!C8</f>
        <v>11511463.060000001</v>
      </c>
    </row>
    <row r="11" spans="1:11" x14ac:dyDescent="0.25">
      <c r="B11" s="43"/>
      <c r="C11" s="96" t="s">
        <v>40</v>
      </c>
      <c r="D11" s="96"/>
      <c r="E11" s="96"/>
      <c r="F11" s="96"/>
      <c r="G11" s="96"/>
      <c r="H11" s="96"/>
      <c r="I11" s="96"/>
      <c r="J11" s="96"/>
      <c r="K11" s="44">
        <f>'Dados UFSC'!C9</f>
        <v>7372924.3300000001</v>
      </c>
    </row>
    <row r="12" spans="1:11" x14ac:dyDescent="0.25">
      <c r="B12" s="43"/>
      <c r="C12" s="96" t="s">
        <v>41</v>
      </c>
      <c r="D12" s="96"/>
      <c r="E12" s="96"/>
      <c r="F12" s="96"/>
      <c r="G12" s="96"/>
      <c r="H12" s="96"/>
      <c r="I12" s="96"/>
      <c r="J12" s="96"/>
      <c r="K12" s="44">
        <f>'Dados UFSC'!C10</f>
        <v>22520042.920000002</v>
      </c>
    </row>
    <row r="13" spans="1:11" x14ac:dyDescent="0.25">
      <c r="B13" s="43"/>
      <c r="C13" s="96" t="s">
        <v>42</v>
      </c>
      <c r="D13" s="96"/>
      <c r="E13" s="96"/>
      <c r="F13" s="96"/>
      <c r="G13" s="96"/>
      <c r="H13" s="96"/>
      <c r="I13" s="96"/>
      <c r="J13" s="96"/>
      <c r="K13" s="44">
        <f>'Dados UFSC'!C11</f>
        <v>21245014.539999999</v>
      </c>
    </row>
    <row r="14" spans="1:11" x14ac:dyDescent="0.25">
      <c r="B14" s="43"/>
      <c r="C14" s="96" t="s">
        <v>43</v>
      </c>
      <c r="D14" s="96"/>
      <c r="E14" s="96"/>
      <c r="F14" s="96"/>
      <c r="G14" s="96"/>
      <c r="H14" s="96"/>
      <c r="I14" s="96"/>
      <c r="J14" s="96"/>
      <c r="K14" s="44">
        <f>'Dados UFSC'!C12</f>
        <v>13878.92</v>
      </c>
    </row>
    <row r="15" spans="1:11" x14ac:dyDescent="0.25">
      <c r="B15" s="45" t="s">
        <v>36</v>
      </c>
      <c r="C15" s="98" t="s">
        <v>37</v>
      </c>
      <c r="D15" s="98"/>
      <c r="E15" s="98"/>
      <c r="F15" s="98"/>
      <c r="G15" s="98"/>
      <c r="H15" s="98"/>
      <c r="I15" s="98"/>
      <c r="J15" s="98"/>
      <c r="K15" s="46">
        <f>SUM(K10:K14)</f>
        <v>62663323.770000003</v>
      </c>
    </row>
    <row r="16" spans="1:11" x14ac:dyDescent="0.25">
      <c r="B16" s="45"/>
    </row>
    <row r="17" spans="2:13" x14ac:dyDescent="0.25">
      <c r="B17" s="45"/>
      <c r="C17" s="101" t="s">
        <v>105</v>
      </c>
      <c r="D17" s="101"/>
      <c r="E17" s="101"/>
      <c r="F17" s="101"/>
      <c r="G17" s="101"/>
      <c r="H17" s="101"/>
      <c r="I17" s="101"/>
      <c r="J17" s="101"/>
      <c r="K17" s="42"/>
    </row>
    <row r="18" spans="2:13" x14ac:dyDescent="0.25">
      <c r="B18" s="45" t="s">
        <v>44</v>
      </c>
      <c r="C18" s="99" t="s">
        <v>22</v>
      </c>
      <c r="D18" s="99"/>
      <c r="E18" s="99"/>
      <c r="F18" s="99"/>
      <c r="G18" s="99"/>
      <c r="H18" s="99"/>
      <c r="I18" s="99"/>
      <c r="J18" s="99"/>
      <c r="K18" s="47">
        <v>421480</v>
      </c>
    </row>
    <row r="19" spans="2:13" x14ac:dyDescent="0.25">
      <c r="B19" s="45" t="s">
        <v>45</v>
      </c>
      <c r="C19" s="99" t="s">
        <v>20</v>
      </c>
      <c r="D19" s="99"/>
      <c r="E19" s="99"/>
      <c r="F19" s="99"/>
      <c r="G19" s="99"/>
      <c r="H19" s="99"/>
      <c r="I19" s="99"/>
      <c r="J19" s="99"/>
      <c r="K19" s="48">
        <v>0.45</v>
      </c>
    </row>
    <row r="20" spans="2:13" x14ac:dyDescent="0.25">
      <c r="B20" s="45" t="s">
        <v>46</v>
      </c>
      <c r="C20" s="99" t="s">
        <v>33</v>
      </c>
      <c r="D20" s="99"/>
      <c r="E20" s="99"/>
      <c r="F20" s="99"/>
      <c r="G20" s="99"/>
      <c r="H20" s="99"/>
      <c r="I20" s="99"/>
      <c r="J20" s="99"/>
      <c r="K20" s="44">
        <f>ROUND(3826*1836.4/1749.41,2)</f>
        <v>4016.25</v>
      </c>
    </row>
    <row r="21" spans="2:13" x14ac:dyDescent="0.25">
      <c r="B21" s="45" t="s">
        <v>50</v>
      </c>
      <c r="C21" s="102" t="s">
        <v>49</v>
      </c>
      <c r="D21" s="102"/>
      <c r="E21" s="102"/>
      <c r="F21" s="102"/>
      <c r="G21" s="102"/>
      <c r="H21" s="102"/>
      <c r="I21" s="102"/>
      <c r="J21" s="102"/>
      <c r="K21" s="49">
        <v>50</v>
      </c>
    </row>
    <row r="22" spans="2:13" x14ac:dyDescent="0.25">
      <c r="B22" s="45" t="s">
        <v>48</v>
      </c>
      <c r="C22" s="99" t="s">
        <v>23</v>
      </c>
      <c r="D22" s="99"/>
      <c r="E22" s="99"/>
      <c r="F22" s="99"/>
      <c r="G22" s="99"/>
      <c r="H22" s="99"/>
      <c r="I22" s="99"/>
      <c r="J22" s="99"/>
      <c r="K22" s="48">
        <v>0.02</v>
      </c>
      <c r="L22" s="50"/>
    </row>
    <row r="23" spans="2:13" x14ac:dyDescent="0.25">
      <c r="C23" s="51"/>
      <c r="D23" s="51"/>
      <c r="E23" s="51"/>
      <c r="F23" s="51"/>
      <c r="G23" s="51"/>
      <c r="H23" s="51"/>
      <c r="I23" s="51"/>
      <c r="J23" s="51"/>
      <c r="K23" s="50"/>
      <c r="L23" s="50"/>
      <c r="M23" s="52"/>
    </row>
    <row r="24" spans="2:13" x14ac:dyDescent="0.25">
      <c r="B24" s="39"/>
      <c r="C24" s="101" t="s">
        <v>34</v>
      </c>
      <c r="D24" s="101"/>
      <c r="E24" s="101"/>
      <c r="F24" s="101"/>
      <c r="G24" s="101"/>
      <c r="H24" s="101"/>
      <c r="I24" s="101"/>
      <c r="J24" s="101"/>
      <c r="K24" s="67"/>
      <c r="L24" s="53"/>
      <c r="M24" s="53"/>
    </row>
    <row r="25" spans="2:13" x14ac:dyDescent="0.25">
      <c r="B25" s="54" t="s">
        <v>47</v>
      </c>
      <c r="C25" s="103" t="s">
        <v>25</v>
      </c>
      <c r="D25" s="103"/>
      <c r="E25" s="103"/>
      <c r="F25" s="103"/>
      <c r="G25" s="103"/>
      <c r="H25" s="103"/>
      <c r="I25" s="103"/>
      <c r="J25" s="103"/>
      <c r="K25" s="55">
        <v>5000</v>
      </c>
    </row>
    <row r="26" spans="2:13" x14ac:dyDescent="0.25">
      <c r="B26" s="54" t="s">
        <v>51</v>
      </c>
      <c r="C26" s="68" t="s">
        <v>24</v>
      </c>
      <c r="D26" s="66"/>
      <c r="E26" s="66"/>
      <c r="F26" s="66"/>
      <c r="G26" s="66"/>
      <c r="H26" s="66"/>
      <c r="I26" s="66"/>
      <c r="J26" s="66"/>
      <c r="K26" s="48">
        <v>0.05</v>
      </c>
    </row>
    <row r="27" spans="2:13" x14ac:dyDescent="0.25">
      <c r="M27" s="56"/>
    </row>
    <row r="28" spans="2:13" x14ac:dyDescent="0.25">
      <c r="M28" s="56"/>
    </row>
    <row r="29" spans="2:13" x14ac:dyDescent="0.25">
      <c r="B29" s="39" t="s">
        <v>53</v>
      </c>
      <c r="M29" s="56"/>
    </row>
    <row r="30" spans="2:13" x14ac:dyDescent="0.25">
      <c r="M30" s="56"/>
    </row>
    <row r="31" spans="2:13" x14ac:dyDescent="0.25">
      <c r="C31" s="101" t="s">
        <v>105</v>
      </c>
      <c r="D31" s="101"/>
      <c r="E31" s="101"/>
      <c r="F31" s="101"/>
      <c r="G31" s="101"/>
      <c r="H31" s="101"/>
      <c r="I31" s="101"/>
      <c r="J31" s="101"/>
      <c r="K31" s="42"/>
      <c r="M31" s="56"/>
    </row>
    <row r="32" spans="2:13" x14ac:dyDescent="0.25">
      <c r="B32" s="45" t="s">
        <v>55</v>
      </c>
      <c r="C32" s="99" t="s">
        <v>97</v>
      </c>
      <c r="D32" s="99"/>
      <c r="E32" s="99"/>
      <c r="F32" s="99"/>
      <c r="G32" s="99"/>
      <c r="H32" s="99"/>
      <c r="I32" s="99"/>
      <c r="J32" s="99"/>
      <c r="K32" s="57">
        <f>Custo!I17</f>
        <v>0</v>
      </c>
      <c r="M32" s="56"/>
    </row>
    <row r="33" spans="2:13" x14ac:dyDescent="0.25">
      <c r="B33" s="45" t="s">
        <v>56</v>
      </c>
      <c r="C33" s="99" t="s">
        <v>4</v>
      </c>
      <c r="D33" s="99"/>
      <c r="E33" s="99"/>
      <c r="F33" s="99"/>
      <c r="G33" s="99"/>
      <c r="H33" s="99"/>
      <c r="I33" s="99"/>
      <c r="J33" s="99"/>
      <c r="K33" s="58">
        <f>Custo!I18</f>
        <v>0</v>
      </c>
      <c r="M33" s="56"/>
    </row>
    <row r="34" spans="2:13" x14ac:dyDescent="0.25">
      <c r="B34" s="45" t="s">
        <v>52</v>
      </c>
      <c r="C34" s="99" t="s">
        <v>7</v>
      </c>
      <c r="D34" s="99"/>
      <c r="E34" s="99"/>
      <c r="F34" s="99"/>
      <c r="G34" s="99"/>
      <c r="H34" s="99"/>
      <c r="I34" s="99"/>
      <c r="J34" s="99"/>
      <c r="K34" s="47">
        <f>Custo!I19</f>
        <v>0</v>
      </c>
      <c r="M34" s="56"/>
    </row>
    <row r="35" spans="2:13" x14ac:dyDescent="0.25">
      <c r="M35" s="56"/>
    </row>
    <row r="36" spans="2:13" x14ac:dyDescent="0.25">
      <c r="M36" s="56"/>
    </row>
    <row r="37" spans="2:13" x14ac:dyDescent="0.25">
      <c r="B37" s="59" t="s">
        <v>57</v>
      </c>
    </row>
    <row r="38" spans="2:13" x14ac:dyDescent="0.25">
      <c r="B38" s="40" t="s">
        <v>54</v>
      </c>
    </row>
    <row r="39" spans="2:13" ht="30" customHeight="1" x14ac:dyDescent="0.25">
      <c r="C39" s="100" t="str">
        <f>"I – O valor médio do metro quadrado construído dentro da UFSC estabelecido pela SEOMA/DPAE (CMQ = R$ "&amp;TEXT(K20,"#.##0,00")&amp;")."</f>
        <v>I – O valor médio do metro quadrado construído dentro da UFSC estabelecido pela SEOMA/DPAE (CMQ = R$ 4.016,25).</v>
      </c>
      <c r="D39" s="100"/>
      <c r="E39" s="100"/>
      <c r="F39" s="100"/>
      <c r="G39" s="100"/>
      <c r="H39" s="100"/>
      <c r="I39" s="100"/>
      <c r="J39" s="100"/>
      <c r="K39" s="100"/>
    </row>
    <row r="40" spans="2:13" ht="30" customHeight="1" x14ac:dyDescent="0.25">
      <c r="C40" s="100" t="str">
        <f>"II – Que as áreas de serviço, apoio e circulação correspondem a  "&amp;TEXT(K19,"00%")&amp;" da área total alocada ao projeto."</f>
        <v>II – Que as áreas de serviço, apoio e circulação correspondem a  45% da área total alocada ao projeto.</v>
      </c>
      <c r="D40" s="100"/>
      <c r="E40" s="100"/>
      <c r="F40" s="100"/>
      <c r="G40" s="100"/>
      <c r="H40" s="100"/>
      <c r="I40" s="100"/>
      <c r="J40" s="100"/>
      <c r="K40" s="100"/>
    </row>
    <row r="41" spans="2:13" ht="21" customHeight="1" x14ac:dyDescent="0.25">
      <c r="C41" s="100" t="str">
        <f>"III – Que a vida útil típica de uma edificação na UFSC é de "&amp;TEXT(K21,"00")&amp;" anos, ou "&amp;TEXT(K21*12,"0##")&amp;" meses."</f>
        <v>III – Que a vida útil típica de uma edificação na UFSC é de 50 anos, ou 600 meses.</v>
      </c>
      <c r="D41" s="100"/>
      <c r="E41" s="100"/>
      <c r="F41" s="100"/>
      <c r="G41" s="100"/>
      <c r="H41" s="100"/>
      <c r="I41" s="100"/>
      <c r="J41" s="100"/>
      <c r="K41" s="100"/>
    </row>
    <row r="42" spans="2:13" ht="33" customHeight="1" x14ac:dyDescent="0.25">
      <c r="B42" s="60"/>
      <c r="C42" s="95" t="s">
        <v>91</v>
      </c>
      <c r="D42" s="95"/>
      <c r="E42" s="95"/>
      <c r="F42" s="95"/>
      <c r="G42" s="95"/>
      <c r="H42" s="95"/>
      <c r="I42" s="95"/>
      <c r="J42" s="95"/>
      <c r="K42" s="95"/>
    </row>
    <row r="43" spans="2:13" x14ac:dyDescent="0.25">
      <c r="H43" s="61"/>
    </row>
    <row r="44" spans="2:13" x14ac:dyDescent="0.25">
      <c r="D44" s="62" t="str">
        <f>"CMD = CMQ * (100,00% + "&amp;TEXT(K19,"#0,00%")&amp;") / (12 * VUP) =   R$ "&amp;TEXT(K20*(100%+K19)/(12*K21),"#0,000")&amp;" /m²"</f>
        <v>CMD = CMQ * (100,00% + 45,00%) / (12 * VUP) =   R$ 9,706 /m²</v>
      </c>
    </row>
    <row r="46" spans="2:13" ht="45.75" customHeight="1" x14ac:dyDescent="0.25">
      <c r="C46" s="95" t="s">
        <v>92</v>
      </c>
      <c r="D46" s="95"/>
      <c r="E46" s="95"/>
      <c r="F46" s="95"/>
      <c r="G46" s="95"/>
      <c r="H46" s="95"/>
      <c r="I46" s="95"/>
      <c r="J46" s="95"/>
      <c r="K46" s="95"/>
    </row>
    <row r="48" spans="2:13" x14ac:dyDescent="0.25">
      <c r="D48" s="62" t="str">
        <f>"TDP = CMD * A * D =   R$ "&amp;TEXT(K20*(100%+K19)/(12*K21)*K32*K33,"#0,00")</f>
        <v>TDP = CMD * A * D =   R$ 0,00</v>
      </c>
    </row>
    <row r="50" spans="2:11" x14ac:dyDescent="0.25">
      <c r="B50" s="39" t="s">
        <v>58</v>
      </c>
    </row>
    <row r="51" spans="2:11" x14ac:dyDescent="0.25">
      <c r="B51" s="40" t="s">
        <v>59</v>
      </c>
    </row>
    <row r="52" spans="2:11" x14ac:dyDescent="0.25">
      <c r="C52" s="95" t="str">
        <f>"I – Tipicamente são gastos anualmente cerca de "&amp;TEXT(K22,"0,00%")&amp;" do valor do imóvel com conservação."</f>
        <v>I – Tipicamente são gastos anualmente cerca de 2,00% do valor do imóvel com conservação.</v>
      </c>
      <c r="D52" s="95"/>
      <c r="E52" s="95"/>
      <c r="F52" s="95"/>
      <c r="G52" s="95"/>
      <c r="H52" s="95"/>
      <c r="I52" s="95"/>
      <c r="J52" s="95"/>
      <c r="K52" s="95"/>
    </row>
    <row r="53" spans="2:11" ht="28.5" customHeight="1" x14ac:dyDescent="0.25">
      <c r="C53" s="95" t="str">
        <f>"II – O valor médio do metro quadrado construído dentro da UFSC estabelecido pela SEOMA/DPAE (CMQ = R$ "&amp;TEXT(K20,"#.##0,00")&amp;")."</f>
        <v>II – O valor médio do metro quadrado construído dentro da UFSC estabelecido pela SEOMA/DPAE (CMQ = R$ 4.016,25).</v>
      </c>
      <c r="D53" s="95"/>
      <c r="E53" s="95"/>
      <c r="F53" s="95"/>
      <c r="G53" s="95"/>
      <c r="H53" s="95"/>
      <c r="I53" s="95"/>
      <c r="J53" s="95"/>
      <c r="K53" s="95"/>
    </row>
    <row r="54" spans="2:11" ht="30.75" customHeight="1" x14ac:dyDescent="0.25">
      <c r="C54" s="95" t="str">
        <f>"III – Que as áreas de serviço, apoio e circulação correspondem a "&amp;TEXT(K19,"00%")&amp;" da área alocada ao projeto."</f>
        <v>III – Que as áreas de serviço, apoio e circulação correspondem a 45% da área alocada ao projeto.</v>
      </c>
      <c r="D54" s="95"/>
      <c r="E54" s="95"/>
      <c r="F54" s="95"/>
      <c r="G54" s="95"/>
      <c r="H54" s="95"/>
      <c r="I54" s="95"/>
      <c r="J54" s="95"/>
      <c r="K54" s="95"/>
    </row>
    <row r="55" spans="2:11" ht="33" customHeight="1" x14ac:dyDescent="0.25">
      <c r="C55" s="95" t="s">
        <v>93</v>
      </c>
      <c r="D55" s="95"/>
      <c r="E55" s="95"/>
      <c r="F55" s="95"/>
      <c r="G55" s="95"/>
      <c r="H55" s="95"/>
      <c r="I55" s="95"/>
      <c r="J55" s="95"/>
      <c r="K55" s="95"/>
    </row>
    <row r="57" spans="2:11" x14ac:dyDescent="0.25">
      <c r="D57" s="62" t="str">
        <f>"CMC = CMQ * (100% + PAS) * PAMP / 12 =   R$ "&amp;TEXT(K20*(100%+K19)*K22/12,"#0,000")&amp;"/m²"</f>
        <v>CMC = CMQ * (100% + PAS) * PAMP / 12 =   R$ 9,706/m²</v>
      </c>
    </row>
    <row r="59" spans="2:11" ht="48" customHeight="1" x14ac:dyDescent="0.25">
      <c r="C59" s="95" t="s">
        <v>94</v>
      </c>
      <c r="D59" s="95"/>
      <c r="E59" s="95"/>
      <c r="F59" s="95"/>
      <c r="G59" s="95"/>
      <c r="H59" s="95"/>
      <c r="I59" s="95"/>
      <c r="J59" s="95"/>
      <c r="K59" s="95"/>
    </row>
    <row r="61" spans="2:11" x14ac:dyDescent="0.25">
      <c r="D61" s="62" t="str">
        <f>"TCP = CMD * A * D =  R$ "&amp;TEXT(K20*(100%+K19)*K22/12*K32*K33,"#0,00")</f>
        <v>TCP = CMD * A * D =  R$ 0,00</v>
      </c>
    </row>
    <row r="62" spans="2:11" x14ac:dyDescent="0.25">
      <c r="D62" s="62"/>
    </row>
    <row r="63" spans="2:11" x14ac:dyDescent="0.25">
      <c r="B63" s="39" t="s">
        <v>60</v>
      </c>
      <c r="D63" s="62"/>
    </row>
    <row r="64" spans="2:11" x14ac:dyDescent="0.25">
      <c r="B64" s="40" t="str">
        <f>"Considera que a vida útil média de um equipamento de pesquisa é de "&amp;TEXT(K25,"#.##0")&amp;" h"</f>
        <v>Considera que a vida útil média de um equipamento de pesquisa é de 5.000 h</v>
      </c>
      <c r="D64" s="62"/>
    </row>
    <row r="65" spans="2:11" ht="33.75" customHeight="1" x14ac:dyDescent="0.25">
      <c r="C65" s="95" t="str">
        <f>"I - A depreciação por hora de utilização corresponde a 1/"&amp;TEXT(K25,"#.##0")&amp;" do valor do equipamento, o que equivale a "&amp;TEXT(1/K25,"0,000%")&amp;" do valor atualizado do equipamento (VAE)"</f>
        <v>I - A depreciação por hora de utilização corresponde a 1/5.000 do valor do equipamento, o que equivale a 0,020% do valor atualizado do equipamento (VAE)</v>
      </c>
      <c r="D65" s="95"/>
      <c r="E65" s="95"/>
      <c r="F65" s="95"/>
      <c r="G65" s="95"/>
      <c r="H65" s="95"/>
      <c r="I65" s="95"/>
      <c r="J65" s="95"/>
      <c r="K65" s="95"/>
    </row>
    <row r="66" spans="2:11" ht="46.5" customHeight="1" x14ac:dyDescent="0.25">
      <c r="C66" s="95" t="s">
        <v>61</v>
      </c>
      <c r="D66" s="95"/>
      <c r="E66" s="95"/>
      <c r="F66" s="95"/>
      <c r="G66" s="95"/>
      <c r="H66" s="95"/>
      <c r="I66" s="95"/>
      <c r="J66" s="95"/>
      <c r="K66" s="95"/>
    </row>
    <row r="67" spans="2:11" x14ac:dyDescent="0.25">
      <c r="D67" s="62"/>
    </row>
    <row r="68" spans="2:11" x14ac:dyDescent="0.25">
      <c r="D68" s="62" t="str">
        <f>"CRE = VAE * "&amp;TEXT(1/K25,"0,000%")&amp;" * H"</f>
        <v>CRE = VAE * 0,020% * H</v>
      </c>
    </row>
    <row r="69" spans="2:11" x14ac:dyDescent="0.25">
      <c r="D69" s="62"/>
    </row>
    <row r="70" spans="2:11" x14ac:dyDescent="0.25">
      <c r="C70" s="40" t="s">
        <v>69</v>
      </c>
      <c r="D70" s="62"/>
    </row>
    <row r="71" spans="2:11" x14ac:dyDescent="0.25">
      <c r="D71" s="62"/>
    </row>
    <row r="72" spans="2:11" x14ac:dyDescent="0.25">
      <c r="D72" s="62" t="str">
        <f>"TRE = Soma de todos CRE =  R$ "&amp;TEXT(Custo!I25,"#.###.##0,00")</f>
        <v>TRE = Soma de todos CRE =  R$ 0,00</v>
      </c>
    </row>
    <row r="73" spans="2:11" x14ac:dyDescent="0.25">
      <c r="D73" s="62"/>
    </row>
    <row r="74" spans="2:11" x14ac:dyDescent="0.25">
      <c r="B74" s="39" t="s">
        <v>62</v>
      </c>
      <c r="D74" s="62"/>
    </row>
    <row r="75" spans="2:11" x14ac:dyDescent="0.25">
      <c r="B75" s="95" t="str">
        <f>"Considera um gasto anual médio de "&amp;TEXT(K26,"#0,00%")&amp;" do valor atualizado do equipamento (VAE)"</f>
        <v>Considera um gasto anual médio de 5,00% do valor atualizado do equipamento (VAE)</v>
      </c>
      <c r="C75" s="95"/>
      <c r="D75" s="95"/>
      <c r="E75" s="95"/>
      <c r="F75" s="95"/>
      <c r="G75" s="95"/>
      <c r="H75" s="95"/>
      <c r="I75" s="95"/>
      <c r="J75" s="95"/>
      <c r="K75" s="95"/>
    </row>
    <row r="76" spans="2:11" ht="62.25" customHeight="1" x14ac:dyDescent="0.25">
      <c r="C76" s="95" t="str">
        <f>"I - Ao ser considerado que um equipamento de pesquisa de uso intensivo é usado em média 30h por semana e por 50 semanas no ano, o número de horas de uso corresponde a 30 * 50 = 1.500 h por ano. Portanto, considera-se que "&amp;TEXT(K26,"0,00%")&amp;" do valor atualizado do equipamento (VAE) é gasto a cada 1.500 h de utilização."</f>
        <v>I - Ao ser considerado que um equipamento de pesquisa de uso intensivo é usado em média 30h por semana e por 50 semanas no ano, o número de horas de uso corresponde a 30 * 50 = 1.500 h por ano. Portanto, considera-se que 5,00% do valor atualizado do equipamento (VAE) é gasto a cada 1.500 h de utilização.</v>
      </c>
      <c r="D76" s="95"/>
      <c r="E76" s="95"/>
      <c r="F76" s="95"/>
      <c r="G76" s="95"/>
      <c r="H76" s="95"/>
      <c r="I76" s="95"/>
      <c r="J76" s="95"/>
      <c r="K76" s="95"/>
    </row>
    <row r="77" spans="2:11" ht="33" customHeight="1" x14ac:dyDescent="0.25">
      <c r="C77" s="95" t="s">
        <v>63</v>
      </c>
      <c r="D77" s="95"/>
      <c r="E77" s="95"/>
      <c r="F77" s="95"/>
      <c r="G77" s="95"/>
      <c r="H77" s="95"/>
      <c r="I77" s="95"/>
      <c r="J77" s="95"/>
      <c r="K77" s="95"/>
    </row>
    <row r="78" spans="2:11" x14ac:dyDescent="0.25">
      <c r="D78" s="62"/>
    </row>
    <row r="79" spans="2:11" x14ac:dyDescent="0.25">
      <c r="D79" s="62" t="str">
        <f>"CME = VAE * "&amp;TEXT(K26,"0,00%")&amp;" * H / 1500"</f>
        <v>CME = VAE * 5,00% * H / 1500</v>
      </c>
    </row>
    <row r="80" spans="2:11" x14ac:dyDescent="0.25">
      <c r="D80" s="62"/>
    </row>
    <row r="81" spans="2:11" x14ac:dyDescent="0.25">
      <c r="C81" s="95" t="s">
        <v>64</v>
      </c>
      <c r="D81" s="95"/>
      <c r="E81" s="95"/>
      <c r="F81" s="95"/>
      <c r="G81" s="95"/>
      <c r="H81" s="95"/>
      <c r="I81" s="95"/>
      <c r="J81" s="95"/>
      <c r="K81" s="95"/>
    </row>
    <row r="82" spans="2:11" x14ac:dyDescent="0.25">
      <c r="D82" s="62"/>
    </row>
    <row r="83" spans="2:11" x14ac:dyDescent="0.25">
      <c r="D83" s="62" t="str">
        <f>"TME = Soma de todos os CME =  R$"&amp;TEXT(Custo!I26,"#.###.##0,00")</f>
        <v>TME = Soma de todos os CME =  R$0,00</v>
      </c>
    </row>
    <row r="84" spans="2:11" x14ac:dyDescent="0.25">
      <c r="D84" s="62"/>
    </row>
    <row r="85" spans="2:11" x14ac:dyDescent="0.25">
      <c r="B85" s="39" t="s">
        <v>65</v>
      </c>
      <c r="D85" s="62"/>
    </row>
    <row r="86" spans="2:11" ht="48" customHeight="1" x14ac:dyDescent="0.25">
      <c r="B86" s="95" t="s">
        <v>95</v>
      </c>
      <c r="C86" s="95"/>
      <c r="D86" s="95"/>
      <c r="E86" s="95"/>
      <c r="F86" s="95"/>
      <c r="G86" s="95"/>
      <c r="H86" s="95"/>
      <c r="I86" s="95"/>
      <c r="J86" s="95"/>
      <c r="K86" s="95"/>
    </row>
    <row r="87" spans="2:11" x14ac:dyDescent="0.25">
      <c r="C87" s="95" t="s">
        <v>66</v>
      </c>
      <c r="D87" s="95"/>
      <c r="E87" s="95"/>
      <c r="F87" s="95"/>
      <c r="G87" s="95"/>
      <c r="H87" s="95"/>
      <c r="I87" s="95"/>
      <c r="J87" s="95"/>
      <c r="K87" s="95"/>
    </row>
    <row r="88" spans="2:11" x14ac:dyDescent="0.25">
      <c r="C88" s="40" t="s">
        <v>67</v>
      </c>
      <c r="D88" s="62"/>
    </row>
    <row r="89" spans="2:11" ht="30" customHeight="1" x14ac:dyDescent="0.25">
      <c r="C89" s="95" t="str">
        <f>"III - A correspondência das áreas de serviço, apoio e circulação a "&amp;TEXT(K19,"#0,00%")&amp;" da área alocada ao projeto."</f>
        <v>III - A correspondência das áreas de serviço, apoio e circulação a 45,00% da área alocada ao projeto.</v>
      </c>
      <c r="D89" s="95"/>
      <c r="E89" s="95"/>
      <c r="F89" s="95"/>
      <c r="G89" s="95"/>
      <c r="H89" s="95"/>
      <c r="I89" s="95"/>
      <c r="J89" s="95"/>
      <c r="K89" s="95"/>
    </row>
    <row r="90" spans="2:11" ht="31.5" customHeight="1" x14ac:dyDescent="0.25">
      <c r="C90" s="95" t="s">
        <v>68</v>
      </c>
      <c r="D90" s="95"/>
      <c r="E90" s="95"/>
      <c r="F90" s="95"/>
      <c r="G90" s="95"/>
      <c r="H90" s="95"/>
      <c r="I90" s="95"/>
      <c r="J90" s="95"/>
      <c r="K90" s="95"/>
    </row>
    <row r="91" spans="2:11" x14ac:dyDescent="0.25">
      <c r="D91" s="62"/>
    </row>
    <row r="92" spans="2:11" x14ac:dyDescent="0.25">
      <c r="D92" s="62" t="str">
        <f>"CMS = GTAS * (100,00% + "&amp;TEXT(K19,"#0,00%")&amp;") / (ATC * 12) =  R$ "&amp;TEXT(K15*(100%+K19)/(K18*12),"##0,00")&amp;" /m²"</f>
        <v>CMS = GTAS * (100,00% + 45,00%) / (ATC * 12) =  R$ 17,96 /m²</v>
      </c>
    </row>
    <row r="93" spans="2:11" x14ac:dyDescent="0.25">
      <c r="D93" s="62"/>
    </row>
    <row r="94" spans="2:11" ht="44.25" customHeight="1" x14ac:dyDescent="0.25">
      <c r="C94" s="95" t="s">
        <v>96</v>
      </c>
      <c r="D94" s="95"/>
      <c r="E94" s="95"/>
      <c r="F94" s="95"/>
      <c r="G94" s="95"/>
      <c r="H94" s="95"/>
      <c r="I94" s="95"/>
      <c r="J94" s="95"/>
      <c r="K94" s="95"/>
    </row>
    <row r="95" spans="2:11" x14ac:dyDescent="0.25">
      <c r="D95" s="62"/>
    </row>
    <row r="96" spans="2:11" x14ac:dyDescent="0.25">
      <c r="D96" s="62" t="str">
        <f>"TS = CMS * A * H =  R$ "&amp;TEXT(Custo!I24,"#.###.##0,00")</f>
        <v>TS = CMS * A * H =  R$ 0,00</v>
      </c>
    </row>
    <row r="97" spans="2:11" x14ac:dyDescent="0.25">
      <c r="D97" s="62"/>
    </row>
    <row r="98" spans="2:11" x14ac:dyDescent="0.25">
      <c r="B98" s="39" t="s">
        <v>70</v>
      </c>
      <c r="D98" s="62"/>
    </row>
    <row r="99" spans="2:11" x14ac:dyDescent="0.25">
      <c r="B99" s="39"/>
      <c r="D99" s="62"/>
    </row>
    <row r="100" spans="2:11" x14ac:dyDescent="0.25">
      <c r="B100" s="39"/>
      <c r="D100" s="63" t="s">
        <v>81</v>
      </c>
      <c r="E100" s="92" t="s">
        <v>82</v>
      </c>
      <c r="F100" s="92"/>
      <c r="G100" s="92"/>
      <c r="H100" s="92"/>
      <c r="I100" s="92"/>
      <c r="J100" s="93" t="s">
        <v>84</v>
      </c>
      <c r="K100" s="93"/>
    </row>
    <row r="101" spans="2:11" x14ac:dyDescent="0.25">
      <c r="B101" s="39"/>
      <c r="D101" s="64" t="s">
        <v>72</v>
      </c>
      <c r="E101" s="94" t="s">
        <v>71</v>
      </c>
      <c r="F101" s="94"/>
      <c r="G101" s="94"/>
      <c r="H101" s="94"/>
      <c r="I101" s="94"/>
      <c r="J101" s="91">
        <f>Custo!I22</f>
        <v>0</v>
      </c>
      <c r="K101" s="91"/>
    </row>
    <row r="102" spans="2:11" x14ac:dyDescent="0.25">
      <c r="B102" s="39"/>
      <c r="D102" s="64" t="s">
        <v>73</v>
      </c>
      <c r="E102" s="94" t="s">
        <v>74</v>
      </c>
      <c r="F102" s="94"/>
      <c r="G102" s="94"/>
      <c r="H102" s="94"/>
      <c r="I102" s="94"/>
      <c r="J102" s="91">
        <f>Custo!I23</f>
        <v>0</v>
      </c>
      <c r="K102" s="91"/>
    </row>
    <row r="103" spans="2:11" x14ac:dyDescent="0.25">
      <c r="B103" s="39"/>
      <c r="D103" s="65" t="s">
        <v>77</v>
      </c>
      <c r="E103" s="94" t="s">
        <v>78</v>
      </c>
      <c r="F103" s="94"/>
      <c r="G103" s="94"/>
      <c r="H103" s="94"/>
      <c r="I103" s="94"/>
      <c r="J103" s="91">
        <f>Custo!I25</f>
        <v>0</v>
      </c>
      <c r="K103" s="91"/>
    </row>
    <row r="104" spans="2:11" x14ac:dyDescent="0.25">
      <c r="B104" s="39"/>
      <c r="D104" s="64" t="s">
        <v>75</v>
      </c>
      <c r="E104" s="94" t="s">
        <v>79</v>
      </c>
      <c r="F104" s="94"/>
      <c r="G104" s="94"/>
      <c r="H104" s="94"/>
      <c r="I104" s="94"/>
      <c r="J104" s="91">
        <f>Custo!I26</f>
        <v>0</v>
      </c>
      <c r="K104" s="91"/>
    </row>
    <row r="105" spans="2:11" x14ac:dyDescent="0.25">
      <c r="B105" s="39"/>
      <c r="D105" s="64" t="s">
        <v>76</v>
      </c>
      <c r="E105" s="94" t="s">
        <v>80</v>
      </c>
      <c r="F105" s="94"/>
      <c r="G105" s="94"/>
      <c r="H105" s="94"/>
      <c r="I105" s="94"/>
      <c r="J105" s="91">
        <f>Custo!I24</f>
        <v>0</v>
      </c>
      <c r="K105" s="91"/>
    </row>
    <row r="106" spans="2:11" x14ac:dyDescent="0.25">
      <c r="B106" s="39"/>
      <c r="D106" s="64"/>
      <c r="E106" s="104" t="s">
        <v>85</v>
      </c>
      <c r="F106" s="105"/>
      <c r="G106" s="105"/>
      <c r="H106" s="105"/>
      <c r="I106" s="106"/>
      <c r="J106" s="91">
        <f>Custo!I27</f>
        <v>0</v>
      </c>
      <c r="K106" s="91"/>
    </row>
    <row r="107" spans="2:11" x14ac:dyDescent="0.25">
      <c r="B107" s="39"/>
      <c r="D107" s="64"/>
      <c r="E107" s="94" t="s">
        <v>86</v>
      </c>
      <c r="F107" s="94"/>
      <c r="G107" s="94"/>
      <c r="H107" s="94"/>
      <c r="I107" s="94"/>
      <c r="J107" s="91" t="e">
        <f>Custo!#REF!</f>
        <v>#REF!</v>
      </c>
      <c r="K107" s="91"/>
    </row>
    <row r="108" spans="2:11" x14ac:dyDescent="0.25">
      <c r="B108" s="39"/>
      <c r="D108" s="64"/>
      <c r="E108" s="107" t="s">
        <v>83</v>
      </c>
      <c r="F108" s="107"/>
      <c r="G108" s="107"/>
      <c r="H108" s="107"/>
      <c r="I108" s="107"/>
      <c r="J108" s="108">
        <f>Custo!I30</f>
        <v>0</v>
      </c>
      <c r="K108" s="108"/>
    </row>
    <row r="109" spans="2:11" x14ac:dyDescent="0.25">
      <c r="D109" s="62"/>
    </row>
    <row r="110" spans="2:11" x14ac:dyDescent="0.25">
      <c r="D110" s="62"/>
    </row>
    <row r="111" spans="2:11" x14ac:dyDescent="0.25">
      <c r="D111" s="62"/>
    </row>
    <row r="112" spans="2:11" x14ac:dyDescent="0.25">
      <c r="D112" s="62"/>
    </row>
    <row r="113" spans="4:4" x14ac:dyDescent="0.25">
      <c r="D113" s="62"/>
    </row>
    <row r="114" spans="4:4" x14ac:dyDescent="0.25">
      <c r="D114" s="62"/>
    </row>
    <row r="115" spans="4:4" x14ac:dyDescent="0.25">
      <c r="D115" s="62"/>
    </row>
    <row r="116" spans="4:4" x14ac:dyDescent="0.25">
      <c r="D116" s="62"/>
    </row>
    <row r="117" spans="4:4" x14ac:dyDescent="0.25">
      <c r="D117" s="62"/>
    </row>
    <row r="118" spans="4:4" x14ac:dyDescent="0.25">
      <c r="D118" s="62"/>
    </row>
    <row r="119" spans="4:4" x14ac:dyDescent="0.25">
      <c r="D119" s="62"/>
    </row>
    <row r="120" spans="4:4" x14ac:dyDescent="0.25">
      <c r="D120" s="62"/>
    </row>
    <row r="121" spans="4:4" x14ac:dyDescent="0.25">
      <c r="D121" s="62"/>
    </row>
    <row r="122" spans="4:4" x14ac:dyDescent="0.25">
      <c r="D122" s="62"/>
    </row>
    <row r="123" spans="4:4" x14ac:dyDescent="0.25">
      <c r="D123" s="62"/>
    </row>
    <row r="124" spans="4:4" x14ac:dyDescent="0.25">
      <c r="D124" s="62"/>
    </row>
    <row r="125" spans="4:4" x14ac:dyDescent="0.25">
      <c r="D125" s="62"/>
    </row>
    <row r="126" spans="4:4" x14ac:dyDescent="0.25">
      <c r="D126" s="62"/>
    </row>
    <row r="127" spans="4:4" x14ac:dyDescent="0.25">
      <c r="D127" s="62"/>
    </row>
    <row r="128" spans="4:4" x14ac:dyDescent="0.25">
      <c r="D128" s="62"/>
    </row>
    <row r="129" spans="4:4" x14ac:dyDescent="0.25">
      <c r="D129" s="62"/>
    </row>
    <row r="130" spans="4:4" x14ac:dyDescent="0.25">
      <c r="D130" s="62"/>
    </row>
    <row r="131" spans="4:4" x14ac:dyDescent="0.25">
      <c r="D131" s="62"/>
    </row>
    <row r="132" spans="4:4" x14ac:dyDescent="0.25">
      <c r="D132" s="62"/>
    </row>
    <row r="133" spans="4:4" x14ac:dyDescent="0.25">
      <c r="D133" s="62"/>
    </row>
    <row r="134" spans="4:4" x14ac:dyDescent="0.25">
      <c r="D134" s="62"/>
    </row>
    <row r="135" spans="4:4" x14ac:dyDescent="0.25">
      <c r="D135" s="62"/>
    </row>
    <row r="136" spans="4:4" x14ac:dyDescent="0.25">
      <c r="D136" s="62"/>
    </row>
    <row r="137" spans="4:4" x14ac:dyDescent="0.25">
      <c r="D137" s="62"/>
    </row>
    <row r="138" spans="4:4" x14ac:dyDescent="0.25">
      <c r="D138" s="62"/>
    </row>
    <row r="139" spans="4:4" x14ac:dyDescent="0.25">
      <c r="D139" s="62"/>
    </row>
    <row r="140" spans="4:4" x14ac:dyDescent="0.25">
      <c r="D140" s="62"/>
    </row>
    <row r="141" spans="4:4" x14ac:dyDescent="0.25">
      <c r="D141" s="62"/>
    </row>
    <row r="142" spans="4:4" x14ac:dyDescent="0.25">
      <c r="D142" s="62"/>
    </row>
    <row r="143" spans="4:4" x14ac:dyDescent="0.25">
      <c r="D143" s="62"/>
    </row>
    <row r="144" spans="4:4" x14ac:dyDescent="0.25">
      <c r="D144" s="62"/>
    </row>
    <row r="145" spans="4:4" x14ac:dyDescent="0.25">
      <c r="D145" s="62"/>
    </row>
  </sheetData>
  <sheetProtection selectLockedCells="1"/>
  <mergeCells count="58">
    <mergeCell ref="J105:K105"/>
    <mergeCell ref="J106:K106"/>
    <mergeCell ref="E106:I106"/>
    <mergeCell ref="E107:I107"/>
    <mergeCell ref="E108:I108"/>
    <mergeCell ref="J107:K107"/>
    <mergeCell ref="J108:K108"/>
    <mergeCell ref="E105:I105"/>
    <mergeCell ref="C24:J24"/>
    <mergeCell ref="C31:J31"/>
    <mergeCell ref="C32:J32"/>
    <mergeCell ref="C33:J33"/>
    <mergeCell ref="C25:J25"/>
    <mergeCell ref="C46:K46"/>
    <mergeCell ref="C52:K52"/>
    <mergeCell ref="C53:K53"/>
    <mergeCell ref="C54:K54"/>
    <mergeCell ref="C15:J15"/>
    <mergeCell ref="C34:J34"/>
    <mergeCell ref="C39:K39"/>
    <mergeCell ref="C40:K40"/>
    <mergeCell ref="C41:K41"/>
    <mergeCell ref="C42:K42"/>
    <mergeCell ref="C17:J17"/>
    <mergeCell ref="C18:J18"/>
    <mergeCell ref="C19:J19"/>
    <mergeCell ref="C20:J20"/>
    <mergeCell ref="C21:J21"/>
    <mergeCell ref="C22:J22"/>
    <mergeCell ref="C14:J14"/>
    <mergeCell ref="C13:J13"/>
    <mergeCell ref="C12:J12"/>
    <mergeCell ref="C9:J9"/>
    <mergeCell ref="C11:J11"/>
    <mergeCell ref="C10:J10"/>
    <mergeCell ref="C89:K89"/>
    <mergeCell ref="C90:K90"/>
    <mergeCell ref="C94:K94"/>
    <mergeCell ref="C55:K55"/>
    <mergeCell ref="C77:K77"/>
    <mergeCell ref="C81:K81"/>
    <mergeCell ref="B86:K86"/>
    <mergeCell ref="C87:K87"/>
    <mergeCell ref="C65:K65"/>
    <mergeCell ref="C66:K66"/>
    <mergeCell ref="B75:K75"/>
    <mergeCell ref="C76:K76"/>
    <mergeCell ref="C59:K59"/>
    <mergeCell ref="J101:K101"/>
    <mergeCell ref="J103:K103"/>
    <mergeCell ref="E100:I100"/>
    <mergeCell ref="J100:K100"/>
    <mergeCell ref="E104:I104"/>
    <mergeCell ref="E101:I101"/>
    <mergeCell ref="E102:I102"/>
    <mergeCell ref="E103:I103"/>
    <mergeCell ref="J102:K102"/>
    <mergeCell ref="J104:K104"/>
  </mergeCells>
  <pageMargins left="0.51181102362204722" right="0.51181102362204722" top="0.78740157480314965" bottom="0.78740157480314965" header="0.31496062992125984" footer="0.31496062992125984"/>
  <pageSetup paperSize="9" scale="75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Custo</vt:lpstr>
      <vt:lpstr>Dados UFSC</vt:lpstr>
      <vt:lpstr>Memória de Cálculo</vt:lpstr>
    </vt:vector>
  </TitlesOfParts>
  <Company>UFSC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do Nascimento da Silva</dc:creator>
  <cp:lastModifiedBy>GUILHERME CIDADE DOS SANTOS</cp:lastModifiedBy>
  <cp:lastPrinted>2019-02-28T22:22:06Z</cp:lastPrinted>
  <dcterms:created xsi:type="dcterms:W3CDTF">2017-12-20T17:01:25Z</dcterms:created>
  <dcterms:modified xsi:type="dcterms:W3CDTF">2025-03-31T17:59:55Z</dcterms:modified>
</cp:coreProperties>
</file>